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L:\Credit\1. Files for Application\Files for upload\"/>
    </mc:Choice>
  </mc:AlternateContent>
  <xr:revisionPtr revIDLastSave="0" documentId="13_ncr:1_{500033C1-1842-4B93-A49A-F32F76927BE4}" xr6:coauthVersionLast="47" xr6:coauthVersionMax="47" xr10:uidLastSave="{00000000-0000-0000-0000-000000000000}"/>
  <bookViews>
    <workbookView xWindow="28680" yWindow="-120" windowWidth="29040" windowHeight="15840" tabRatio="928" xr2:uid="{00000000-000D-0000-FFFF-FFFF00000000}"/>
  </bookViews>
  <sheets>
    <sheet name="Sheet1" sheetId="2" r:id="rId1"/>
    <sheet name="1-800 Contacts" sheetId="27" r:id="rId2"/>
    <sheet name="American Greetings" sheetId="28" r:id="rId3"/>
    <sheet name="Arbys Restaurant Group" sheetId="29" r:id="rId4"/>
    <sheet name="Atkins Nutritional" sheetId="1" r:id="rId5"/>
    <sheet name="Bass Pro Group" sheetId="30" r:id="rId6"/>
    <sheet name="Bay Club" sheetId="19" r:id="rId7"/>
    <sheet name="Boardriders" sheetId="31" r:id="rId8"/>
    <sheet name="Burger King" sheetId="3" r:id="rId9"/>
    <sheet name="Camping World" sheetId="23" r:id="rId10"/>
    <sheet name="Carlisle FoodService" sheetId="4" r:id="rId11"/>
    <sheet name="CH Guenther &amp; Son" sheetId="17" r:id="rId12"/>
    <sheet name="Cirque du Soleil" sheetId="32" r:id="rId13"/>
    <sheet name="Constellation Brands" sheetId="5" r:id="rId14"/>
    <sheet name="CSM Bakery" sheetId="33" r:id="rId15"/>
    <sheet name="Eyemart Express" sheetId="6" r:id="rId16"/>
    <sheet name="Fluidra" sheetId="7" r:id="rId17"/>
    <sheet name="Hostess Brands" sheetId="8" r:id="rId18"/>
    <sheet name="International Car Wash Group" sheetId="24" r:id="rId19"/>
    <sheet name="Jacobs Douwe Egberts" sheetId="9" r:id="rId20"/>
    <sheet name="JBS USA" sheetId="34" r:id="rId21"/>
    <sheet name="KIK Custom Products" sheetId="35" r:id="rId22"/>
    <sheet name="Life Time Fitness" sheetId="36" r:id="rId23"/>
    <sheet name="Mastronardi Produce" sheetId="18" r:id="rId24"/>
    <sheet name="MyEyeDr" sheetId="37" r:id="rId25"/>
    <sheet name="Navico" sheetId="38" r:id="rId26"/>
    <sheet name="NBTY" sheetId="39" r:id="rId27"/>
    <sheet name="NPC International" sheetId="10" r:id="rId28"/>
    <sheet name="Pabst Blue Ribbon" sheetId="40" r:id="rId29"/>
    <sheet name="Packers Holdings" sheetId="11" r:id="rId30"/>
    <sheet name="Pelican Products" sheetId="26" r:id="rId31"/>
    <sheet name="PlayCore" sheetId="41" r:id="rId32"/>
    <sheet name="Protection One" sheetId="42" r:id="rId33"/>
    <sheet name="SMG" sheetId="12" r:id="rId34"/>
    <sheet name="TKC Holdings" sheetId="13" r:id="rId35"/>
    <sheet name="TriMark" sheetId="45" r:id="rId36"/>
    <sheet name="TruGreen" sheetId="43" r:id="rId37"/>
    <sheet name="UFC Holdings" sheetId="44" r:id="rId38"/>
    <sheet name="Varsity Brands" sheetId="25" r:id="rId39"/>
    <sheet name="VC GB" sheetId="46" r:id="rId40"/>
    <sheet name="Veritext Legal Solutions" sheetId="20" r:id="rId41"/>
    <sheet name="Weight Watchers" sheetId="14" r:id="rId42"/>
    <sheet name="WorldStrides" sheetId="15" r:id="rId43"/>
    <sheet name="Yum Brands" sheetId="16" r:id="rId44"/>
    <sheet name="Restaurant Technologies, Inc." sheetId="47" r:id="rId45"/>
    <sheet name="Chobani" sheetId="48" r:id="rId46"/>
    <sheet name="Hearthside Food Solutions" sheetId="49" r:id="rId47"/>
    <sheet name="Jostens, Inc." sheetId="50" r:id="rId48"/>
    <sheet name="Aimbridge Hospitality" sheetId="21" r:id="rId49"/>
    <sheet name="TopGolf International" sheetId="53" r:id="rId50"/>
    <sheet name="Belfor Holdings" sheetId="54" r:id="rId51"/>
    <sheet name="Equinox" sheetId="55" r:id="rId52"/>
    <sheet name="Tivity Health" sheetId="56" r:id="rId53"/>
    <sheet name="Servpro" sheetId="57" r:id="rId54"/>
    <sheet name="Anastasia Skin Care" sheetId="58" r:id="rId55"/>
    <sheet name="Mister Car Wash" sheetId="59" r:id="rId56"/>
    <sheet name="Insurance Auto Auctions, Inc." sheetId="60" r:id="rId57"/>
    <sheet name="Worley Claims Services" sheetId="61" r:id="rId58"/>
    <sheet name="NASCAR" sheetId="62" r:id="rId59"/>
    <sheet name="Whataburger" sheetId="63" r:id="rId60"/>
    <sheet name="PLZ Aeroscience Corporation" sheetId="64" r:id="rId61"/>
    <sheet name="World Triathlon" sheetId="65" r:id="rId62"/>
    <sheet name="Knowlton Development" sheetId="66" r:id="rId63"/>
    <sheet name="B&amp;G Foods" sheetId="67" r:id="rId64"/>
    <sheet name="KAR Auction Services" sheetId="68" r:id="rId65"/>
    <sheet name="Shearers Foods" sheetId="69" r:id="rId66"/>
    <sheet name="Arnotts" sheetId="70" r:id="rId67"/>
    <sheet name="Merlin Entertainment" sheetId="71" r:id="rId68"/>
    <sheet name="ServiceMaster" sheetId="72" r:id="rId69"/>
    <sheet name="Aramark" sheetId="73" r:id="rId70"/>
    <sheet name="First Advantage" sheetId="74" r:id="rId71"/>
    <sheet name="Authentic Brands Group LLC" sheetId="75" r:id="rId72"/>
    <sheet name="Reynolds Consumer Products" sheetId="76" r:id="rId73"/>
    <sheet name="Stubhub" sheetId="77" r:id="rId74"/>
    <sheet name="AMEX Global Business Travel" sheetId="78" r:id="rId75"/>
    <sheet name="Blackhawk Network Holdings" sheetId="79" r:id="rId76"/>
    <sheet name="Adevinta" sheetId="80" r:id="rId77"/>
    <sheet name="Alliance Laundry" sheetId="81" r:id="rId78"/>
    <sheet name="American Residential" sheetId="82" r:id="rId79"/>
    <sheet name="Service Logic" sheetId="83" r:id="rId80"/>
    <sheet name="Weber Grills" sheetId="84" r:id="rId81"/>
    <sheet name="Zaxbys" sheetId="85" r:id="rId82"/>
    <sheet name="CommerceHub" sheetId="86" r:id="rId83"/>
    <sheet name="Imperial Dade" sheetId="87" r:id="rId84"/>
    <sheet name="Therma Holdings" sheetId="88" r:id="rId85"/>
    <sheet name="Utz Brands" sheetId="89" r:id="rId86"/>
    <sheet name="Rent-A-Center" sheetId="90" r:id="rId87"/>
    <sheet name="PrimeSource" sheetId="91" r:id="rId88"/>
    <sheet name="PDC Brands" sheetId="92" r:id="rId89"/>
    <sheet name="Murphy USA" sheetId="93" r:id="rId90"/>
    <sheet name="Jo-Ann Fabrics" sheetId="94" r:id="rId91"/>
    <sheet name="Hillman" sheetId="95" r:id="rId92"/>
    <sheet name="Domtar Personal Care" sheetId="96" r:id="rId93"/>
    <sheet name="Triton Water" sheetId="97" r:id="rId94"/>
    <sheet name="SiteOne" sheetId="98" r:id="rId95"/>
    <sheet name="Spectrum Brands" sheetId="99" r:id="rId96"/>
    <sheet name="City Brewing" sheetId="100" r:id="rId97"/>
    <sheet name="Hunter Fans" sheetId="101" r:id="rId98"/>
    <sheet name="ImageFirst" sheetId="102" r:id="rId99"/>
    <sheet name="Frontdoor" sheetId="103" r:id="rId100"/>
    <sheet name="Conair" sheetId="104" r:id="rId101"/>
    <sheet name="Club Car" sheetId="105" r:id="rId102"/>
    <sheet name="APM Global" sheetId="106" r:id="rId103"/>
    <sheet name="Sovos Brands" sheetId="107" r:id="rId104"/>
    <sheet name="Madison IAQ" sheetId="108" r:id="rId105"/>
    <sheet name="Herman Miller" sheetId="109" r:id="rId106"/>
    <sheet name="EmployBridge" sheetId="110" r:id="rId107"/>
    <sheet name="CoolSys" sheetId="111" r:id="rId108"/>
    <sheet name="Monogram Food" sheetId="112" r:id="rId109"/>
    <sheet name="Pilot Travel Centers" sheetId="113" r:id="rId110"/>
    <sheet name="Waterlogic" sheetId="114" r:id="rId111"/>
    <sheet name="&lt;Issuer Name&gt;" sheetId="52" r:id="rId112"/>
  </sheets>
  <definedNames>
    <definedName name="_xlnm._FilterDatabase" localSheetId="0" hidden="1">Sheet1!$A$2:$AJ$112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2" i="68" l="1"/>
  <c r="B55" i="68" s="1"/>
  <c r="B41" i="68"/>
  <c r="B32" i="68"/>
  <c r="B35" i="68"/>
  <c r="B36" i="68"/>
  <c r="B30" i="68"/>
  <c r="B31" i="68"/>
  <c r="B46" i="68"/>
  <c r="B22" i="68"/>
  <c r="B29" i="68" s="1"/>
  <c r="B17" i="68"/>
  <c r="B13" i="68"/>
  <c r="B42" i="8"/>
  <c r="B55" i="8" s="1"/>
  <c r="B41" i="8"/>
  <c r="B37" i="8"/>
  <c r="B22" i="8"/>
  <c r="B29" i="8" s="1"/>
  <c r="B17" i="8"/>
  <c r="B13" i="8"/>
  <c r="B48" i="8"/>
  <c r="B53" i="8" s="1"/>
  <c r="B46" i="8"/>
  <c r="B37" i="68" l="1"/>
  <c r="B48" i="68" s="1"/>
  <c r="B53" i="68" s="1"/>
  <c r="B24" i="68"/>
  <c r="B27" i="68" s="1"/>
  <c r="B47" i="68" s="1"/>
  <c r="B50" i="68" s="1"/>
  <c r="B24" i="8"/>
  <c r="B27" i="8" s="1"/>
  <c r="B47" i="8" s="1"/>
  <c r="B52" i="8" s="1"/>
  <c r="B51" i="8"/>
  <c r="B52" i="68" l="1"/>
  <c r="B51" i="68"/>
  <c r="B50" i="8"/>
  <c r="B48" i="61" l="1"/>
  <c r="B53" i="61" s="1"/>
  <c r="B47" i="61"/>
  <c r="B55" i="61" s="1"/>
  <c r="B46" i="61"/>
  <c r="B41" i="61"/>
  <c r="B37" i="61"/>
  <c r="B25" i="61"/>
  <c r="B29" i="61"/>
  <c r="B27" i="61"/>
  <c r="B22" i="61"/>
  <c r="B24" i="61" s="1"/>
  <c r="B17" i="61"/>
  <c r="B13" i="61"/>
  <c r="B48" i="20"/>
  <c r="B53" i="20" s="1"/>
  <c r="B47" i="20"/>
  <c r="B55" i="20" s="1"/>
  <c r="B46" i="20"/>
  <c r="B41" i="20"/>
  <c r="B37" i="20"/>
  <c r="B26" i="20"/>
  <c r="B27" i="20" s="1"/>
  <c r="B22" i="20"/>
  <c r="B24" i="20" s="1"/>
  <c r="B17" i="20"/>
  <c r="B13" i="20"/>
  <c r="B42" i="25"/>
  <c r="B41" i="25"/>
  <c r="B25" i="25"/>
  <c r="B55" i="25"/>
  <c r="B46" i="25"/>
  <c r="B37" i="25"/>
  <c r="B48" i="25" s="1"/>
  <c r="B22" i="25"/>
  <c r="B29" i="25" s="1"/>
  <c r="B17" i="25"/>
  <c r="B13" i="25"/>
  <c r="B48" i="44"/>
  <c r="B53" i="44" s="1"/>
  <c r="B47" i="44"/>
  <c r="B55" i="44" s="1"/>
  <c r="B46" i="44"/>
  <c r="B42" i="44"/>
  <c r="B41" i="44"/>
  <c r="B37" i="44"/>
  <c r="B22" i="44"/>
  <c r="B29" i="44" s="1"/>
  <c r="B17" i="44"/>
  <c r="B13" i="44"/>
  <c r="B42" i="43"/>
  <c r="B55" i="43" s="1"/>
  <c r="B41" i="43"/>
  <c r="B33" i="43"/>
  <c r="B34" i="43" s="1"/>
  <c r="B37" i="43"/>
  <c r="B48" i="43" s="1"/>
  <c r="B29" i="43"/>
  <c r="B24" i="43"/>
  <c r="B27" i="43" s="1"/>
  <c r="B47" i="43" s="1"/>
  <c r="B52" i="43" s="1"/>
  <c r="B21" i="43"/>
  <c r="B17" i="43"/>
  <c r="B13" i="43"/>
  <c r="B46" i="43"/>
  <c r="B25" i="45"/>
  <c r="B40" i="45"/>
  <c r="B41" i="45" s="1"/>
  <c r="B48" i="45"/>
  <c r="B46" i="45"/>
  <c r="B37" i="45"/>
  <c r="B22" i="45"/>
  <c r="B24" i="45" s="1"/>
  <c r="B17" i="45"/>
  <c r="B13" i="45"/>
  <c r="B55" i="13"/>
  <c r="B48" i="13"/>
  <c r="B53" i="13" s="1"/>
  <c r="B47" i="13"/>
  <c r="B52" i="13" s="1"/>
  <c r="B46" i="13"/>
  <c r="B41" i="13"/>
  <c r="B37" i="13"/>
  <c r="B25" i="13"/>
  <c r="B29" i="13"/>
  <c r="B33" i="13"/>
  <c r="B24" i="13"/>
  <c r="B21" i="13"/>
  <c r="B17" i="13"/>
  <c r="B13" i="13"/>
  <c r="B50" i="61" l="1"/>
  <c r="B51" i="61"/>
  <c r="B52" i="61"/>
  <c r="B50" i="20"/>
  <c r="B51" i="20"/>
  <c r="B52" i="20"/>
  <c r="B29" i="20"/>
  <c r="B53" i="25"/>
  <c r="B24" i="25"/>
  <c r="B51" i="44"/>
  <c r="B50" i="44"/>
  <c r="B52" i="44"/>
  <c r="B24" i="44"/>
  <c r="B27" i="44" s="1"/>
  <c r="B53" i="43"/>
  <c r="B50" i="43"/>
  <c r="B51" i="43"/>
  <c r="B27" i="45"/>
  <c r="B47" i="45" s="1"/>
  <c r="B55" i="45" s="1"/>
  <c r="B53" i="45"/>
  <c r="B29" i="45"/>
  <c r="B50" i="45"/>
  <c r="B51" i="45"/>
  <c r="B52" i="45"/>
  <c r="B50" i="13"/>
  <c r="B51" i="13"/>
  <c r="B34" i="13"/>
  <c r="B27" i="25" l="1"/>
  <c r="B47" i="25" s="1"/>
  <c r="B48" i="12"/>
  <c r="B53" i="12" s="1"/>
  <c r="B47" i="12"/>
  <c r="B52" i="12" s="1"/>
  <c r="B46" i="12"/>
  <c r="B41" i="12"/>
  <c r="B40" i="12"/>
  <c r="B37" i="12"/>
  <c r="B29" i="12"/>
  <c r="B27" i="12"/>
  <c r="B25" i="12"/>
  <c r="B22" i="12"/>
  <c r="B24" i="12" s="1"/>
  <c r="B17" i="12"/>
  <c r="B13" i="12"/>
  <c r="B48" i="69"/>
  <c r="B53" i="69" s="1"/>
  <c r="B47" i="69"/>
  <c r="B55" i="69" s="1"/>
  <c r="B46" i="69"/>
  <c r="B41" i="69"/>
  <c r="B37" i="69"/>
  <c r="B22" i="69"/>
  <c r="B29" i="69" s="1"/>
  <c r="B17" i="69"/>
  <c r="B13" i="69"/>
  <c r="B48" i="47"/>
  <c r="B53" i="47" s="1"/>
  <c r="B47" i="47"/>
  <c r="B55" i="47" s="1"/>
  <c r="B46" i="47"/>
  <c r="B41" i="47"/>
  <c r="B33" i="47"/>
  <c r="B34" i="47" s="1"/>
  <c r="B37" i="47"/>
  <c r="B29" i="47"/>
  <c r="B27" i="47"/>
  <c r="B25" i="47"/>
  <c r="B24" i="47"/>
  <c r="B21" i="47"/>
  <c r="B17" i="47"/>
  <c r="B13" i="47"/>
  <c r="B48" i="91"/>
  <c r="B53" i="91" s="1"/>
  <c r="B47" i="91"/>
  <c r="B55" i="91" s="1"/>
  <c r="B46" i="91"/>
  <c r="B41" i="91"/>
  <c r="F37" i="91"/>
  <c r="B37" i="91"/>
  <c r="B29" i="91"/>
  <c r="B27" i="91"/>
  <c r="B22" i="91"/>
  <c r="B17" i="91"/>
  <c r="F22" i="91"/>
  <c r="F17" i="91"/>
  <c r="B13" i="91"/>
  <c r="B41" i="41"/>
  <c r="B37" i="41"/>
  <c r="B34" i="41"/>
  <c r="B22" i="41"/>
  <c r="B29" i="41" s="1"/>
  <c r="B17" i="41"/>
  <c r="B13" i="41"/>
  <c r="B55" i="41"/>
  <c r="B48" i="41"/>
  <c r="B53" i="41" s="1"/>
  <c r="B46" i="41"/>
  <c r="B25" i="11"/>
  <c r="B48" i="11"/>
  <c r="B53" i="11" s="1"/>
  <c r="B47" i="11"/>
  <c r="B55" i="11" s="1"/>
  <c r="B46" i="11"/>
  <c r="B41" i="11"/>
  <c r="B37" i="11"/>
  <c r="B34" i="11"/>
  <c r="B33" i="11"/>
  <c r="B29" i="11"/>
  <c r="B27" i="11"/>
  <c r="B24" i="11"/>
  <c r="B20" i="11"/>
  <c r="B17" i="11"/>
  <c r="B13" i="11"/>
  <c r="B48" i="62"/>
  <c r="B53" i="62" s="1"/>
  <c r="B47" i="62"/>
  <c r="B55" i="62" s="1"/>
  <c r="B46" i="62"/>
  <c r="B41" i="62"/>
  <c r="B34" i="62"/>
  <c r="B37" i="62"/>
  <c r="B29" i="62"/>
  <c r="B27" i="62"/>
  <c r="B22" i="62"/>
  <c r="B17" i="62"/>
  <c r="B13" i="62"/>
  <c r="B25" i="37"/>
  <c r="B41" i="37"/>
  <c r="B48" i="37"/>
  <c r="B53" i="37" s="1"/>
  <c r="B46" i="37"/>
  <c r="B37" i="37"/>
  <c r="B22" i="37"/>
  <c r="B24" i="37" s="1"/>
  <c r="B27" i="37" s="1"/>
  <c r="B47" i="37" s="1"/>
  <c r="B55" i="37" s="1"/>
  <c r="B17" i="37"/>
  <c r="B13" i="37"/>
  <c r="B41" i="50"/>
  <c r="B22" i="50"/>
  <c r="B17" i="50"/>
  <c r="B48" i="50"/>
  <c r="B46" i="50"/>
  <c r="B37" i="50"/>
  <c r="B29" i="50"/>
  <c r="B24" i="50"/>
  <c r="B27" i="50" s="1"/>
  <c r="B47" i="50" s="1"/>
  <c r="B55" i="50" s="1"/>
  <c r="B13" i="50"/>
  <c r="B48" i="87"/>
  <c r="B46" i="87"/>
  <c r="B55" i="87"/>
  <c r="B53" i="87"/>
  <c r="B52" i="87"/>
  <c r="B51" i="87"/>
  <c r="B50" i="87"/>
  <c r="B47" i="87"/>
  <c r="B41" i="87"/>
  <c r="G37" i="87"/>
  <c r="F37" i="87"/>
  <c r="E37" i="87"/>
  <c r="D37" i="87"/>
  <c r="C37" i="87"/>
  <c r="B37" i="87"/>
  <c r="B27" i="87"/>
  <c r="C27" i="87"/>
  <c r="B22" i="87"/>
  <c r="B17" i="87"/>
  <c r="C22" i="87"/>
  <c r="C17" i="87"/>
  <c r="D22" i="87"/>
  <c r="D17" i="87"/>
  <c r="E22" i="87"/>
  <c r="E17" i="87"/>
  <c r="F22" i="87"/>
  <c r="F17" i="87"/>
  <c r="B13" i="87"/>
  <c r="B47" i="102"/>
  <c r="B46" i="102"/>
  <c r="B48" i="102"/>
  <c r="B53" i="102" s="1"/>
  <c r="B55" i="102"/>
  <c r="B52" i="102"/>
  <c r="B51" i="102"/>
  <c r="B50" i="102"/>
  <c r="B41" i="102"/>
  <c r="B37" i="102"/>
  <c r="B22" i="102"/>
  <c r="B29" i="102" s="1"/>
  <c r="B17" i="102"/>
  <c r="B13" i="102"/>
  <c r="B48" i="49"/>
  <c r="B53" i="49" s="1"/>
  <c r="B47" i="49"/>
  <c r="B55" i="49" s="1"/>
  <c r="B46" i="49"/>
  <c r="B41" i="49"/>
  <c r="B37" i="49"/>
  <c r="B33" i="49"/>
  <c r="B34" i="49" s="1"/>
  <c r="B29" i="49"/>
  <c r="B27" i="49"/>
  <c r="B25" i="49"/>
  <c r="B24" i="49"/>
  <c r="B17" i="49"/>
  <c r="B22" i="49"/>
  <c r="B13" i="49"/>
  <c r="B41" i="6"/>
  <c r="B37" i="6"/>
  <c r="B29" i="6"/>
  <c r="B27" i="6"/>
  <c r="B26" i="6"/>
  <c r="B22" i="6"/>
  <c r="B24" i="6" s="1"/>
  <c r="B17" i="6"/>
  <c r="B13" i="6"/>
  <c r="B55" i="6"/>
  <c r="B48" i="6"/>
  <c r="B53" i="6" s="1"/>
  <c r="B47" i="6"/>
  <c r="B46" i="6"/>
  <c r="B41" i="86"/>
  <c r="B51" i="86" s="1"/>
  <c r="B37" i="86"/>
  <c r="B48" i="86" s="1"/>
  <c r="B29" i="86"/>
  <c r="B27" i="86"/>
  <c r="B25" i="86"/>
  <c r="B22" i="86"/>
  <c r="B24" i="86" s="1"/>
  <c r="B17" i="86"/>
  <c r="B13" i="86"/>
  <c r="B47" i="86"/>
  <c r="B46" i="86"/>
  <c r="B41" i="79"/>
  <c r="B37" i="79"/>
  <c r="B29" i="79"/>
  <c r="B27" i="79"/>
  <c r="B25" i="79"/>
  <c r="B22" i="79"/>
  <c r="B24" i="79" s="1"/>
  <c r="B17" i="79"/>
  <c r="B13" i="79"/>
  <c r="B55" i="79"/>
  <c r="B48" i="79"/>
  <c r="B47" i="79"/>
  <c r="B46" i="79"/>
  <c r="B42" i="54"/>
  <c r="B41" i="54"/>
  <c r="B40" i="54"/>
  <c r="B37" i="54"/>
  <c r="B34" i="54"/>
  <c r="B29" i="54"/>
  <c r="B27" i="54"/>
  <c r="B47" i="54" s="1"/>
  <c r="B22" i="54"/>
  <c r="B17" i="54"/>
  <c r="B13" i="54"/>
  <c r="B55" i="54"/>
  <c r="B48" i="54"/>
  <c r="B46" i="54"/>
  <c r="B42" i="30"/>
  <c r="B55" i="30" s="1"/>
  <c r="B41" i="30"/>
  <c r="B40" i="30"/>
  <c r="B48" i="30"/>
  <c r="B53" i="30" s="1"/>
  <c r="B47" i="30"/>
  <c r="B46" i="30"/>
  <c r="B37" i="30"/>
  <c r="B22" i="30"/>
  <c r="B29" i="30" s="1"/>
  <c r="B17" i="30"/>
  <c r="B13" i="30"/>
  <c r="B41" i="75"/>
  <c r="B37" i="75"/>
  <c r="B29" i="75"/>
  <c r="B25" i="75"/>
  <c r="B27" i="75" s="1"/>
  <c r="B47" i="75" s="1"/>
  <c r="B52" i="75" s="1"/>
  <c r="B22" i="75"/>
  <c r="B24" i="75" s="1"/>
  <c r="B17" i="75"/>
  <c r="B13" i="75"/>
  <c r="B55" i="75"/>
  <c r="B48" i="75"/>
  <c r="B53" i="75" s="1"/>
  <c r="B46" i="75"/>
  <c r="B55" i="29"/>
  <c r="B48" i="29"/>
  <c r="B53" i="29" s="1"/>
  <c r="B47" i="29"/>
  <c r="B52" i="29" s="1"/>
  <c r="B46" i="29"/>
  <c r="B41" i="29"/>
  <c r="B29" i="29"/>
  <c r="B37" i="29"/>
  <c r="B27" i="29"/>
  <c r="B25" i="29"/>
  <c r="B22" i="29"/>
  <c r="B24" i="29" s="1"/>
  <c r="B17" i="29"/>
  <c r="B13" i="29"/>
  <c r="B41" i="81"/>
  <c r="B37" i="81"/>
  <c r="B22" i="81"/>
  <c r="B29" i="81" s="1"/>
  <c r="B17" i="81"/>
  <c r="B13" i="81"/>
  <c r="B55" i="81"/>
  <c r="B48" i="81"/>
  <c r="B46" i="81"/>
  <c r="B41" i="114"/>
  <c r="I55" i="114"/>
  <c r="H55" i="114"/>
  <c r="B55" i="114"/>
  <c r="I37" i="114"/>
  <c r="H37" i="114"/>
  <c r="G37" i="114"/>
  <c r="F37" i="114"/>
  <c r="E37" i="114"/>
  <c r="D37" i="114"/>
  <c r="C37" i="114"/>
  <c r="B37" i="114"/>
  <c r="B53" i="114" s="1"/>
  <c r="E29" i="114"/>
  <c r="I22" i="114"/>
  <c r="I29" i="114" s="1"/>
  <c r="H22" i="114"/>
  <c r="H29" i="114" s="1"/>
  <c r="G22" i="114"/>
  <c r="G29" i="114" s="1"/>
  <c r="F22" i="114"/>
  <c r="F24" i="114" s="1"/>
  <c r="F27" i="114" s="1"/>
  <c r="E22" i="114"/>
  <c r="E24" i="114" s="1"/>
  <c r="E27" i="114" s="1"/>
  <c r="D22" i="114"/>
  <c r="D29" i="114" s="1"/>
  <c r="C22" i="114"/>
  <c r="C29" i="114" s="1"/>
  <c r="B22" i="114"/>
  <c r="B29" i="114" s="1"/>
  <c r="I17" i="114"/>
  <c r="H17" i="114"/>
  <c r="G17" i="114"/>
  <c r="F17" i="114"/>
  <c r="E17" i="114"/>
  <c r="D17" i="114"/>
  <c r="C17" i="114"/>
  <c r="B17" i="114"/>
  <c r="E13" i="114"/>
  <c r="D13" i="114"/>
  <c r="C13" i="114"/>
  <c r="B13" i="114"/>
  <c r="C10" i="114"/>
  <c r="D10" i="114" s="1"/>
  <c r="E10" i="114" s="1"/>
  <c r="F10" i="114" s="1"/>
  <c r="G10" i="114" s="1"/>
  <c r="H10" i="114" s="1"/>
  <c r="I10" i="114" s="1"/>
  <c r="B41" i="113"/>
  <c r="I55" i="113"/>
  <c r="H55" i="113"/>
  <c r="G55" i="113"/>
  <c r="B55" i="113"/>
  <c r="I37" i="113"/>
  <c r="H37" i="113"/>
  <c r="G37" i="113"/>
  <c r="F37" i="113"/>
  <c r="E37" i="113"/>
  <c r="D37" i="113"/>
  <c r="C37" i="113"/>
  <c r="B37" i="113"/>
  <c r="F29" i="113"/>
  <c r="E29" i="113"/>
  <c r="I22" i="113"/>
  <c r="I29" i="113" s="1"/>
  <c r="H22" i="113"/>
  <c r="H29" i="113" s="1"/>
  <c r="G22" i="113"/>
  <c r="G29" i="113" s="1"/>
  <c r="F22" i="113"/>
  <c r="F24" i="113" s="1"/>
  <c r="F27" i="113" s="1"/>
  <c r="E22" i="113"/>
  <c r="E24" i="113" s="1"/>
  <c r="E27" i="113" s="1"/>
  <c r="D22" i="113"/>
  <c r="D29" i="113" s="1"/>
  <c r="C22" i="113"/>
  <c r="C29" i="113" s="1"/>
  <c r="B22" i="113"/>
  <c r="B29" i="113" s="1"/>
  <c r="I17" i="113"/>
  <c r="H17" i="113"/>
  <c r="G17" i="113"/>
  <c r="F17" i="113"/>
  <c r="E17" i="113"/>
  <c r="D17" i="113"/>
  <c r="C17" i="113"/>
  <c r="B17" i="113"/>
  <c r="E13" i="113"/>
  <c r="D13" i="113"/>
  <c r="C13" i="113"/>
  <c r="B13" i="113"/>
  <c r="C10" i="113"/>
  <c r="D10" i="113" s="1"/>
  <c r="E10" i="113" s="1"/>
  <c r="F10" i="113" s="1"/>
  <c r="G10" i="113" s="1"/>
  <c r="H10" i="113" s="1"/>
  <c r="I10" i="113" s="1"/>
  <c r="B41" i="112"/>
  <c r="I55" i="112"/>
  <c r="H55" i="112"/>
  <c r="G55" i="112"/>
  <c r="B55" i="112"/>
  <c r="I37" i="112"/>
  <c r="H37" i="112"/>
  <c r="G37" i="112"/>
  <c r="F37" i="112"/>
  <c r="E37" i="112"/>
  <c r="D37" i="112"/>
  <c r="C37" i="112"/>
  <c r="B37" i="112"/>
  <c r="B53" i="112" s="1"/>
  <c r="F29" i="112"/>
  <c r="E29" i="112"/>
  <c r="I22" i="112"/>
  <c r="I29" i="112" s="1"/>
  <c r="H22" i="112"/>
  <c r="H29" i="112" s="1"/>
  <c r="G22" i="112"/>
  <c r="G29" i="112" s="1"/>
  <c r="F22" i="112"/>
  <c r="F24" i="112" s="1"/>
  <c r="F27" i="112" s="1"/>
  <c r="E22" i="112"/>
  <c r="E24" i="112" s="1"/>
  <c r="E27" i="112" s="1"/>
  <c r="D22" i="112"/>
  <c r="D29" i="112" s="1"/>
  <c r="C22" i="112"/>
  <c r="C29" i="112" s="1"/>
  <c r="B22" i="112"/>
  <c r="B29" i="112" s="1"/>
  <c r="I17" i="112"/>
  <c r="H17" i="112"/>
  <c r="G17" i="112"/>
  <c r="F17" i="112"/>
  <c r="E17" i="112"/>
  <c r="D17" i="112"/>
  <c r="C17" i="112"/>
  <c r="B17" i="112"/>
  <c r="E13" i="112"/>
  <c r="D13" i="112"/>
  <c r="C13" i="112"/>
  <c r="B13" i="112"/>
  <c r="C10" i="112"/>
  <c r="D10" i="112" s="1"/>
  <c r="E10" i="112" s="1"/>
  <c r="F10" i="112" s="1"/>
  <c r="G10" i="112" s="1"/>
  <c r="H10" i="112" s="1"/>
  <c r="I10" i="112" s="1"/>
  <c r="B41" i="111"/>
  <c r="I55" i="111"/>
  <c r="H55" i="111"/>
  <c r="G55" i="111"/>
  <c r="B55" i="111"/>
  <c r="I37" i="111"/>
  <c r="H37" i="111"/>
  <c r="G37" i="111"/>
  <c r="F37" i="111"/>
  <c r="E37" i="111"/>
  <c r="D37" i="111"/>
  <c r="C37" i="111"/>
  <c r="B37" i="111"/>
  <c r="B53" i="111" s="1"/>
  <c r="E29" i="111"/>
  <c r="I22" i="111"/>
  <c r="I29" i="111" s="1"/>
  <c r="H22" i="111"/>
  <c r="H29" i="111" s="1"/>
  <c r="G22" i="111"/>
  <c r="G29" i="111" s="1"/>
  <c r="F22" i="111"/>
  <c r="F24" i="111" s="1"/>
  <c r="F27" i="111" s="1"/>
  <c r="E22" i="111"/>
  <c r="E24" i="111" s="1"/>
  <c r="E27" i="111" s="1"/>
  <c r="D22" i="111"/>
  <c r="D29" i="111" s="1"/>
  <c r="C22" i="111"/>
  <c r="C29" i="111" s="1"/>
  <c r="B22" i="111"/>
  <c r="B29" i="111" s="1"/>
  <c r="I17" i="111"/>
  <c r="H17" i="111"/>
  <c r="G17" i="111"/>
  <c r="F17" i="111"/>
  <c r="E17" i="111"/>
  <c r="D17" i="111"/>
  <c r="C17" i="111"/>
  <c r="B17" i="111"/>
  <c r="E13" i="111"/>
  <c r="D13" i="111"/>
  <c r="C13" i="111"/>
  <c r="B13" i="111"/>
  <c r="C10" i="111"/>
  <c r="D10" i="111" s="1"/>
  <c r="E10" i="111" s="1"/>
  <c r="F10" i="111" s="1"/>
  <c r="G10" i="111" s="1"/>
  <c r="H10" i="111" s="1"/>
  <c r="I10" i="111" s="1"/>
  <c r="B42" i="23"/>
  <c r="B41" i="23"/>
  <c r="B30" i="23"/>
  <c r="B31" i="23"/>
  <c r="B32" i="23"/>
  <c r="B35" i="23"/>
  <c r="B36" i="23"/>
  <c r="B46" i="23"/>
  <c r="B22" i="23"/>
  <c r="B29" i="23" s="1"/>
  <c r="B17" i="23"/>
  <c r="B13" i="23"/>
  <c r="B41" i="67"/>
  <c r="B17" i="67"/>
  <c r="B22" i="67"/>
  <c r="B24" i="67" s="1"/>
  <c r="B27" i="67" s="1"/>
  <c r="B47" i="67" s="1"/>
  <c r="B35" i="67"/>
  <c r="B36" i="67"/>
  <c r="B37" i="67" s="1"/>
  <c r="B48" i="67" s="1"/>
  <c r="B32" i="67"/>
  <c r="B30" i="67"/>
  <c r="B31" i="67"/>
  <c r="B13" i="67"/>
  <c r="B42" i="67"/>
  <c r="B46" i="67"/>
  <c r="B42" i="73"/>
  <c r="B55" i="73" s="1"/>
  <c r="B41" i="73"/>
  <c r="B40" i="73"/>
  <c r="B16" i="73"/>
  <c r="B22" i="73" s="1"/>
  <c r="B29" i="73" s="1"/>
  <c r="B31" i="73"/>
  <c r="B30" i="73"/>
  <c r="B32" i="73"/>
  <c r="B37" i="73"/>
  <c r="B48" i="73" s="1"/>
  <c r="B36" i="73"/>
  <c r="B35" i="73"/>
  <c r="B46" i="73"/>
  <c r="B13" i="73"/>
  <c r="B41" i="110"/>
  <c r="I55" i="110"/>
  <c r="H55" i="110"/>
  <c r="B55" i="110"/>
  <c r="I37" i="110"/>
  <c r="H37" i="110"/>
  <c r="G37" i="110"/>
  <c r="F37" i="110"/>
  <c r="E37" i="110"/>
  <c r="D37" i="110"/>
  <c r="C37" i="110"/>
  <c r="B37" i="110"/>
  <c r="I29" i="110"/>
  <c r="H29" i="110"/>
  <c r="E29" i="110"/>
  <c r="D29" i="110"/>
  <c r="I22" i="110"/>
  <c r="H22" i="110"/>
  <c r="G22" i="110"/>
  <c r="G29" i="110" s="1"/>
  <c r="F22" i="110"/>
  <c r="F24" i="110" s="1"/>
  <c r="F27" i="110" s="1"/>
  <c r="E22" i="110"/>
  <c r="E24" i="110" s="1"/>
  <c r="E27" i="110" s="1"/>
  <c r="D22" i="110"/>
  <c r="D24" i="110" s="1"/>
  <c r="D27" i="110" s="1"/>
  <c r="C22" i="110"/>
  <c r="C29" i="110" s="1"/>
  <c r="B22" i="110"/>
  <c r="B24" i="110" s="1"/>
  <c r="B27" i="110" s="1"/>
  <c r="I17" i="110"/>
  <c r="H17" i="110"/>
  <c r="G17" i="110"/>
  <c r="F17" i="110"/>
  <c r="E17" i="110"/>
  <c r="D17" i="110"/>
  <c r="C17" i="110"/>
  <c r="B17" i="110"/>
  <c r="E13" i="110"/>
  <c r="D13" i="110"/>
  <c r="C13" i="110"/>
  <c r="B13" i="110"/>
  <c r="C10" i="110"/>
  <c r="D10" i="110" s="1"/>
  <c r="E10" i="110" s="1"/>
  <c r="F10" i="110" s="1"/>
  <c r="G10" i="110" s="1"/>
  <c r="H10" i="110" s="1"/>
  <c r="I10" i="110" s="1"/>
  <c r="B41" i="109"/>
  <c r="I55" i="109"/>
  <c r="H55" i="109"/>
  <c r="G55" i="109"/>
  <c r="F55" i="109"/>
  <c r="E55" i="109"/>
  <c r="D55" i="109"/>
  <c r="C55" i="109"/>
  <c r="B55" i="109"/>
  <c r="I37" i="109"/>
  <c r="H37" i="109"/>
  <c r="G37" i="109"/>
  <c r="F37" i="109"/>
  <c r="E37" i="109"/>
  <c r="D37" i="109"/>
  <c r="C37" i="109"/>
  <c r="B37" i="109"/>
  <c r="B53" i="109" s="1"/>
  <c r="I29" i="109"/>
  <c r="F29" i="109"/>
  <c r="E29" i="109"/>
  <c r="B29" i="109"/>
  <c r="I22" i="109"/>
  <c r="H22" i="109"/>
  <c r="H29" i="109" s="1"/>
  <c r="G22" i="109"/>
  <c r="G29" i="109" s="1"/>
  <c r="F22" i="109"/>
  <c r="F24" i="109" s="1"/>
  <c r="F27" i="109" s="1"/>
  <c r="E22" i="109"/>
  <c r="E24" i="109" s="1"/>
  <c r="E27" i="109" s="1"/>
  <c r="D22" i="109"/>
  <c r="D29" i="109" s="1"/>
  <c r="C22" i="109"/>
  <c r="C24" i="109" s="1"/>
  <c r="C27" i="109" s="1"/>
  <c r="B22" i="109"/>
  <c r="B24" i="109" s="1"/>
  <c r="B27" i="109" s="1"/>
  <c r="I17" i="109"/>
  <c r="H17" i="109"/>
  <c r="G17" i="109"/>
  <c r="F17" i="109"/>
  <c r="E17" i="109"/>
  <c r="D17" i="109"/>
  <c r="C17" i="109"/>
  <c r="B17" i="109"/>
  <c r="E13" i="109"/>
  <c r="D13" i="109"/>
  <c r="C13" i="109"/>
  <c r="B13" i="109"/>
  <c r="C10" i="109"/>
  <c r="D10" i="109" s="1"/>
  <c r="E10" i="109" s="1"/>
  <c r="F10" i="109" s="1"/>
  <c r="G10" i="109" s="1"/>
  <c r="H10" i="109" s="1"/>
  <c r="I10" i="109" s="1"/>
  <c r="B41" i="108"/>
  <c r="I55" i="108"/>
  <c r="H55" i="108"/>
  <c r="G55" i="108"/>
  <c r="B55" i="108"/>
  <c r="I37" i="108"/>
  <c r="H37" i="108"/>
  <c r="G37" i="108"/>
  <c r="F37" i="108"/>
  <c r="E37" i="108"/>
  <c r="D37" i="108"/>
  <c r="B53" i="108" s="1"/>
  <c r="C37" i="108"/>
  <c r="B37" i="108"/>
  <c r="I29" i="108"/>
  <c r="H29" i="108"/>
  <c r="E29" i="108"/>
  <c r="D29" i="108"/>
  <c r="I22" i="108"/>
  <c r="H22" i="108"/>
  <c r="G22" i="108"/>
  <c r="G29" i="108" s="1"/>
  <c r="F22" i="108"/>
  <c r="F24" i="108" s="1"/>
  <c r="F27" i="108" s="1"/>
  <c r="E22" i="108"/>
  <c r="E24" i="108" s="1"/>
  <c r="E27" i="108" s="1"/>
  <c r="D22" i="108"/>
  <c r="D24" i="108" s="1"/>
  <c r="D27" i="108" s="1"/>
  <c r="C22" i="108"/>
  <c r="C29" i="108" s="1"/>
  <c r="B22" i="108"/>
  <c r="B24" i="108" s="1"/>
  <c r="B27" i="108" s="1"/>
  <c r="I17" i="108"/>
  <c r="H17" i="108"/>
  <c r="G17" i="108"/>
  <c r="F17" i="108"/>
  <c r="E17" i="108"/>
  <c r="D17" i="108"/>
  <c r="C17" i="108"/>
  <c r="B17" i="108"/>
  <c r="E13" i="108"/>
  <c r="D13" i="108"/>
  <c r="C13" i="108"/>
  <c r="B13" i="108"/>
  <c r="C10" i="108"/>
  <c r="D10" i="108" s="1"/>
  <c r="E10" i="108" s="1"/>
  <c r="F10" i="108" s="1"/>
  <c r="G10" i="108" s="1"/>
  <c r="H10" i="108" s="1"/>
  <c r="I10" i="108" s="1"/>
  <c r="B41" i="107"/>
  <c r="I55" i="107"/>
  <c r="H55" i="107"/>
  <c r="G55" i="107"/>
  <c r="B55" i="107"/>
  <c r="I37" i="107"/>
  <c r="H37" i="107"/>
  <c r="G37" i="107"/>
  <c r="F37" i="107"/>
  <c r="E37" i="107"/>
  <c r="D37" i="107"/>
  <c r="C37" i="107"/>
  <c r="B37" i="107"/>
  <c r="B53" i="107" s="1"/>
  <c r="I22" i="107"/>
  <c r="I29" i="107" s="1"/>
  <c r="H22" i="107"/>
  <c r="H29" i="107" s="1"/>
  <c r="G22" i="107"/>
  <c r="G29" i="107" s="1"/>
  <c r="F22" i="107"/>
  <c r="F24" i="107" s="1"/>
  <c r="F27" i="107" s="1"/>
  <c r="E22" i="107"/>
  <c r="E24" i="107" s="1"/>
  <c r="E27" i="107" s="1"/>
  <c r="D22" i="107"/>
  <c r="D29" i="107" s="1"/>
  <c r="C22" i="107"/>
  <c r="C29" i="107" s="1"/>
  <c r="B22" i="107"/>
  <c r="B24" i="107" s="1"/>
  <c r="B27" i="107" s="1"/>
  <c r="I17" i="107"/>
  <c r="H17" i="107"/>
  <c r="G17" i="107"/>
  <c r="F17" i="107"/>
  <c r="E17" i="107"/>
  <c r="D17" i="107"/>
  <c r="C17" i="107"/>
  <c r="B17" i="107"/>
  <c r="E13" i="107"/>
  <c r="D13" i="107"/>
  <c r="C13" i="107"/>
  <c r="B13" i="107"/>
  <c r="C10" i="107"/>
  <c r="D10" i="107" s="1"/>
  <c r="E10" i="107" s="1"/>
  <c r="F10" i="107" s="1"/>
  <c r="G10" i="107" s="1"/>
  <c r="H10" i="107" s="1"/>
  <c r="I10" i="107" s="1"/>
  <c r="O45" i="2"/>
  <c r="O79" i="2"/>
  <c r="I108" i="2"/>
  <c r="J108" i="2"/>
  <c r="C45" i="2"/>
  <c r="F79" i="2"/>
  <c r="E108" i="2"/>
  <c r="O63" i="2"/>
  <c r="J67" i="2"/>
  <c r="E45" i="2"/>
  <c r="I40" i="2"/>
  <c r="J79" i="2"/>
  <c r="I79" i="2"/>
  <c r="I45" i="2"/>
  <c r="C67" i="2"/>
  <c r="C79" i="2"/>
  <c r="E40" i="2"/>
  <c r="E67" i="2"/>
  <c r="O37" i="2"/>
  <c r="E79" i="2"/>
  <c r="C108" i="2"/>
  <c r="J37" i="2"/>
  <c r="I37" i="2"/>
  <c r="F67" i="2"/>
  <c r="O67" i="2"/>
  <c r="I63" i="2"/>
  <c r="E37" i="2"/>
  <c r="I67" i="2"/>
  <c r="O108" i="2"/>
  <c r="F108" i="2"/>
  <c r="F45" i="2"/>
  <c r="O40" i="2"/>
  <c r="B52" i="25" l="1"/>
  <c r="B50" i="25"/>
  <c r="B51" i="25"/>
  <c r="B50" i="12"/>
  <c r="B51" i="12"/>
  <c r="B50" i="69"/>
  <c r="B51" i="69"/>
  <c r="B52" i="69"/>
  <c r="B24" i="69"/>
  <c r="B27" i="69" s="1"/>
  <c r="B50" i="47"/>
  <c r="B51" i="47"/>
  <c r="B52" i="47"/>
  <c r="B50" i="91"/>
  <c r="B51" i="91"/>
  <c r="B52" i="91"/>
  <c r="B24" i="41"/>
  <c r="B27" i="41" s="1"/>
  <c r="B47" i="41" s="1"/>
  <c r="B52" i="41" s="1"/>
  <c r="B50" i="41"/>
  <c r="B51" i="41"/>
  <c r="B50" i="11"/>
  <c r="B51" i="11"/>
  <c r="B52" i="11"/>
  <c r="B50" i="62"/>
  <c r="B51" i="62"/>
  <c r="B52" i="62"/>
  <c r="B29" i="37"/>
  <c r="B50" i="37"/>
  <c r="B51" i="37"/>
  <c r="B52" i="37"/>
  <c r="B53" i="50"/>
  <c r="B50" i="50"/>
  <c r="B51" i="50"/>
  <c r="B52" i="50"/>
  <c r="B50" i="49"/>
  <c r="B51" i="49"/>
  <c r="B52" i="49"/>
  <c r="B52" i="6"/>
  <c r="B50" i="6"/>
  <c r="B51" i="6"/>
  <c r="B55" i="86"/>
  <c r="B52" i="86"/>
  <c r="B53" i="86"/>
  <c r="B50" i="86"/>
  <c r="B52" i="79"/>
  <c r="B53" i="79"/>
  <c r="B50" i="79"/>
  <c r="B51" i="79"/>
  <c r="B53" i="54"/>
  <c r="B52" i="54"/>
  <c r="B50" i="54"/>
  <c r="B51" i="54"/>
  <c r="B52" i="30"/>
  <c r="B50" i="30"/>
  <c r="B51" i="30"/>
  <c r="B24" i="30"/>
  <c r="B27" i="30" s="1"/>
  <c r="B50" i="75"/>
  <c r="B51" i="75"/>
  <c r="B50" i="29"/>
  <c r="B51" i="29"/>
  <c r="B53" i="81"/>
  <c r="B24" i="81"/>
  <c r="B27" i="81" s="1"/>
  <c r="B47" i="81" s="1"/>
  <c r="B52" i="81" s="1"/>
  <c r="F29" i="114"/>
  <c r="B24" i="114"/>
  <c r="B27" i="114" s="1"/>
  <c r="C24" i="114"/>
  <c r="C27" i="114" s="1"/>
  <c r="D24" i="114"/>
  <c r="D27" i="114" s="1"/>
  <c r="B53" i="113"/>
  <c r="B24" i="113"/>
  <c r="B27" i="113" s="1"/>
  <c r="C24" i="113"/>
  <c r="C27" i="113" s="1"/>
  <c r="D24" i="113"/>
  <c r="D27" i="113" s="1"/>
  <c r="B24" i="112"/>
  <c r="B27" i="112" s="1"/>
  <c r="C24" i="112"/>
  <c r="C27" i="112" s="1"/>
  <c r="D24" i="112"/>
  <c r="D27" i="112" s="1"/>
  <c r="F29" i="111"/>
  <c r="B24" i="111"/>
  <c r="B27" i="111" s="1"/>
  <c r="C24" i="111"/>
  <c r="C27" i="111" s="1"/>
  <c r="D24" i="111"/>
  <c r="D27" i="111" s="1"/>
  <c r="B55" i="23"/>
  <c r="B34" i="23"/>
  <c r="B37" i="23"/>
  <c r="B48" i="23" s="1"/>
  <c r="B53" i="23" s="1"/>
  <c r="B50" i="23"/>
  <c r="B24" i="23"/>
  <c r="B27" i="23" s="1"/>
  <c r="B47" i="23" s="1"/>
  <c r="B52" i="23" s="1"/>
  <c r="B53" i="67"/>
  <c r="B29" i="67"/>
  <c r="B52" i="67"/>
  <c r="B55" i="67"/>
  <c r="B51" i="67"/>
  <c r="B50" i="67"/>
  <c r="B53" i="73"/>
  <c r="B17" i="73"/>
  <c r="B24" i="73"/>
  <c r="B27" i="73" s="1"/>
  <c r="B47" i="73" s="1"/>
  <c r="B52" i="73" s="1"/>
  <c r="B53" i="110"/>
  <c r="B52" i="110"/>
  <c r="B50" i="110"/>
  <c r="B51" i="110"/>
  <c r="B29" i="110"/>
  <c r="F29" i="110"/>
  <c r="C24" i="110"/>
  <c r="C27" i="110" s="1"/>
  <c r="B50" i="109"/>
  <c r="B52" i="109"/>
  <c r="B51" i="109"/>
  <c r="C29" i="109"/>
  <c r="D24" i="109"/>
  <c r="D27" i="109" s="1"/>
  <c r="B52" i="108"/>
  <c r="B50" i="108"/>
  <c r="B51" i="108"/>
  <c r="C24" i="108"/>
  <c r="C27" i="108" s="1"/>
  <c r="B29" i="108"/>
  <c r="F29" i="108"/>
  <c r="B52" i="107"/>
  <c r="B51" i="107"/>
  <c r="B50" i="107"/>
  <c r="C24" i="107"/>
  <c r="C27" i="107" s="1"/>
  <c r="E29" i="107"/>
  <c r="D24" i="107"/>
  <c r="D27" i="107" s="1"/>
  <c r="B29" i="107"/>
  <c r="F29" i="107"/>
  <c r="B41" i="106"/>
  <c r="I55" i="106"/>
  <c r="H55" i="106"/>
  <c r="G55" i="106"/>
  <c r="B55" i="106"/>
  <c r="I37" i="106"/>
  <c r="H37" i="106"/>
  <c r="G37" i="106"/>
  <c r="F37" i="106"/>
  <c r="E37" i="106"/>
  <c r="D37" i="106"/>
  <c r="C37" i="106"/>
  <c r="B37" i="106"/>
  <c r="B53" i="106" s="1"/>
  <c r="I22" i="106"/>
  <c r="I29" i="106" s="1"/>
  <c r="H22" i="106"/>
  <c r="H29" i="106" s="1"/>
  <c r="G22" i="106"/>
  <c r="G29" i="106" s="1"/>
  <c r="F22" i="106"/>
  <c r="F24" i="106" s="1"/>
  <c r="F27" i="106" s="1"/>
  <c r="E22" i="106"/>
  <c r="E24" i="106" s="1"/>
  <c r="E27" i="106" s="1"/>
  <c r="D22" i="106"/>
  <c r="D29" i="106" s="1"/>
  <c r="C22" i="106"/>
  <c r="C29" i="106" s="1"/>
  <c r="B22" i="106"/>
  <c r="B24" i="106" s="1"/>
  <c r="B27" i="106" s="1"/>
  <c r="I17" i="106"/>
  <c r="H17" i="106"/>
  <c r="G17" i="106"/>
  <c r="F17" i="106"/>
  <c r="E17" i="106"/>
  <c r="D17" i="106"/>
  <c r="C17" i="106"/>
  <c r="B17" i="106"/>
  <c r="E13" i="106"/>
  <c r="D13" i="106"/>
  <c r="C13" i="106"/>
  <c r="B13" i="106"/>
  <c r="C10" i="106"/>
  <c r="D10" i="106" s="1"/>
  <c r="E10" i="106" s="1"/>
  <c r="F10" i="106" s="1"/>
  <c r="G10" i="106" s="1"/>
  <c r="H10" i="106" s="1"/>
  <c r="I10" i="106" s="1"/>
  <c r="O93" i="2"/>
  <c r="C40" i="2"/>
  <c r="J93" i="2"/>
  <c r="C37" i="2"/>
  <c r="F37" i="2"/>
  <c r="I93" i="2"/>
  <c r="J63" i="2"/>
  <c r="B51" i="81" l="1"/>
  <c r="B50" i="81"/>
  <c r="B52" i="114"/>
  <c r="B50" i="114"/>
  <c r="B51" i="114"/>
  <c r="B52" i="113"/>
  <c r="B51" i="113"/>
  <c r="B50" i="113"/>
  <c r="B52" i="112"/>
  <c r="B50" i="112"/>
  <c r="B51" i="112"/>
  <c r="B52" i="111"/>
  <c r="B50" i="111"/>
  <c r="B51" i="111"/>
  <c r="B51" i="23"/>
  <c r="B50" i="73"/>
  <c r="B51" i="73"/>
  <c r="B52" i="106"/>
  <c r="B51" i="106"/>
  <c r="B50" i="106"/>
  <c r="C24" i="106"/>
  <c r="C27" i="106" s="1"/>
  <c r="E29" i="106"/>
  <c r="D24" i="106"/>
  <c r="D27" i="106" s="1"/>
  <c r="B29" i="106"/>
  <c r="F29" i="106"/>
  <c r="B41" i="100"/>
  <c r="B52" i="100"/>
  <c r="B55" i="100"/>
  <c r="B53" i="100"/>
  <c r="B51" i="100"/>
  <c r="B50" i="100"/>
  <c r="B37" i="100"/>
  <c r="B22" i="100"/>
  <c r="B29" i="100" s="1"/>
  <c r="B17" i="100"/>
  <c r="B13" i="100"/>
  <c r="J11" i="2"/>
  <c r="J45" i="2"/>
  <c r="I11" i="2"/>
  <c r="F40" i="2"/>
  <c r="J40" i="2"/>
  <c r="O11" i="2"/>
  <c r="E63" i="2"/>
  <c r="F63" i="2"/>
  <c r="B40" i="7" l="1"/>
  <c r="B41" i="7" s="1"/>
  <c r="B55" i="7" s="1"/>
  <c r="B46" i="7"/>
  <c r="B37" i="7"/>
  <c r="B48" i="7" s="1"/>
  <c r="B22" i="7"/>
  <c r="B29" i="7" s="1"/>
  <c r="B17" i="7"/>
  <c r="B13" i="7"/>
  <c r="C63" i="2"/>
  <c r="E11" i="2"/>
  <c r="B53" i="7" l="1"/>
  <c r="B24" i="7"/>
  <c r="B27" i="7" s="1"/>
  <c r="B47" i="7" s="1"/>
  <c r="B52" i="7"/>
  <c r="C21" i="43"/>
  <c r="C33" i="43" s="1"/>
  <c r="C37" i="43"/>
  <c r="C42" i="43"/>
  <c r="C55" i="43" s="1"/>
  <c r="C41" i="43"/>
  <c r="C51" i="43" s="1"/>
  <c r="C40" i="43"/>
  <c r="C46" i="43"/>
  <c r="C17" i="43"/>
  <c r="C29" i="43"/>
  <c r="C24" i="43"/>
  <c r="C27" i="43" s="1"/>
  <c r="C47" i="43" s="1"/>
  <c r="C50" i="43" s="1"/>
  <c r="C13" i="43"/>
  <c r="E93" i="2"/>
  <c r="C11" i="2"/>
  <c r="F93" i="2"/>
  <c r="C93" i="2"/>
  <c r="F11" i="2"/>
  <c r="C34" i="43" l="1"/>
  <c r="B50" i="7"/>
  <c r="B51" i="7"/>
  <c r="C52" i="43"/>
  <c r="D41" i="6"/>
  <c r="C41" i="6"/>
  <c r="C37" i="6"/>
  <c r="D37" i="6"/>
  <c r="C22" i="6"/>
  <c r="C29" i="6" s="1"/>
  <c r="C17" i="6"/>
  <c r="D22" i="6"/>
  <c r="D17" i="6"/>
  <c r="C13" i="6"/>
  <c r="D13" i="6"/>
  <c r="C46" i="6"/>
  <c r="D46" i="6"/>
  <c r="B40" i="5" l="1"/>
  <c r="B41" i="5"/>
  <c r="B55" i="5" s="1"/>
  <c r="B34" i="5"/>
  <c r="B37" i="5"/>
  <c r="B22" i="5"/>
  <c r="B29" i="5" s="1"/>
  <c r="B17" i="5"/>
  <c r="B13" i="5"/>
  <c r="B48" i="5"/>
  <c r="B46" i="5"/>
  <c r="B53" i="5" l="1"/>
  <c r="B24" i="5"/>
  <c r="B27" i="5" s="1"/>
  <c r="B47" i="5" s="1"/>
  <c r="B52" i="5"/>
  <c r="B50" i="5" l="1"/>
  <c r="B51" i="5"/>
  <c r="H24" i="72" l="1"/>
  <c r="G24" i="72"/>
  <c r="C41" i="72"/>
  <c r="B42" i="72"/>
  <c r="C42" i="72"/>
  <c r="B41" i="72"/>
  <c r="B40" i="72"/>
  <c r="C40" i="72"/>
  <c r="C37" i="72"/>
  <c r="B48" i="72" s="1"/>
  <c r="B53" i="72" s="1"/>
  <c r="B37" i="72"/>
  <c r="B29" i="72"/>
  <c r="B22" i="72"/>
  <c r="B17" i="72"/>
  <c r="C22" i="72"/>
  <c r="C24" i="72" s="1"/>
  <c r="C27" i="72" s="1"/>
  <c r="C47" i="72" s="1"/>
  <c r="C17" i="72"/>
  <c r="B13" i="72"/>
  <c r="C13" i="72"/>
  <c r="B46" i="72"/>
  <c r="C46" i="72"/>
  <c r="C50" i="72" l="1"/>
  <c r="C55" i="72"/>
  <c r="B24" i="72"/>
  <c r="B27" i="72" s="1"/>
  <c r="B47" i="72" s="1"/>
  <c r="C29" i="72"/>
  <c r="C48" i="72"/>
  <c r="C53" i="72" s="1"/>
  <c r="C51" i="72"/>
  <c r="C52" i="72"/>
  <c r="C47" i="77"/>
  <c r="C27" i="77"/>
  <c r="B24" i="77"/>
  <c r="B27" i="77" s="1"/>
  <c r="B47" i="77" s="1"/>
  <c r="B46" i="77"/>
  <c r="B41" i="77"/>
  <c r="C41" i="77"/>
  <c r="B37" i="77"/>
  <c r="B29" i="77"/>
  <c r="B22" i="77"/>
  <c r="B13" i="77"/>
  <c r="B50" i="72" l="1"/>
  <c r="B51" i="72"/>
  <c r="B55" i="72"/>
  <c r="B52" i="72"/>
  <c r="C41" i="82"/>
  <c r="C40" i="82"/>
  <c r="C32" i="82"/>
  <c r="C37" i="82"/>
  <c r="B48" i="82"/>
  <c r="C48" i="82"/>
  <c r="B47" i="82"/>
  <c r="C46" i="82"/>
  <c r="B46" i="82"/>
  <c r="B40" i="82"/>
  <c r="B41" i="82"/>
  <c r="B52" i="82" s="1"/>
  <c r="B32" i="82"/>
  <c r="B37" i="82"/>
  <c r="B55" i="82"/>
  <c r="B50" i="82"/>
  <c r="B22" i="82"/>
  <c r="B29" i="82" s="1"/>
  <c r="B17" i="82"/>
  <c r="C22" i="82"/>
  <c r="C29" i="82" s="1"/>
  <c r="C17" i="82"/>
  <c r="C13" i="82"/>
  <c r="B13" i="82"/>
  <c r="C53" i="82" l="1"/>
  <c r="B51" i="82"/>
  <c r="B53" i="82"/>
  <c r="D32" i="82"/>
  <c r="D46" i="85" l="1"/>
  <c r="C46" i="85"/>
  <c r="B46" i="85"/>
  <c r="B47" i="85"/>
  <c r="B55" i="85"/>
  <c r="B53" i="85"/>
  <c r="B52" i="85"/>
  <c r="B51" i="85"/>
  <c r="B50" i="85"/>
  <c r="B48" i="85"/>
  <c r="C48" i="85"/>
  <c r="C32" i="85"/>
  <c r="C37" i="85"/>
  <c r="C36" i="85"/>
  <c r="C35" i="85"/>
  <c r="C30" i="85"/>
  <c r="C13" i="85"/>
  <c r="C12" i="85"/>
  <c r="G12" i="85"/>
  <c r="B41" i="85"/>
  <c r="B30" i="85"/>
  <c r="F30" i="85"/>
  <c r="B32" i="85"/>
  <c r="B29" i="85"/>
  <c r="B37" i="85"/>
  <c r="B22" i="85"/>
  <c r="B17" i="85"/>
  <c r="B13" i="85"/>
  <c r="J46" i="68" l="1"/>
  <c r="I46" i="68"/>
  <c r="C41" i="68"/>
  <c r="C32" i="68"/>
  <c r="C22" i="68"/>
  <c r="C29" i="68" s="1"/>
  <c r="C17" i="68"/>
  <c r="C37" i="68"/>
  <c r="C13" i="68"/>
  <c r="C42" i="68"/>
  <c r="C41" i="67" l="1"/>
  <c r="C17" i="67"/>
  <c r="C21" i="67"/>
  <c r="C32" i="67"/>
  <c r="C22" i="67"/>
  <c r="C29" i="67" s="1"/>
  <c r="C37" i="67"/>
  <c r="C42" i="67"/>
  <c r="C13" i="67"/>
  <c r="B41" i="3" l="1"/>
  <c r="B40" i="3"/>
  <c r="B32" i="3"/>
  <c r="B33" i="3"/>
  <c r="B34" i="3" s="1"/>
  <c r="B37" i="3"/>
  <c r="B29" i="3"/>
  <c r="B24" i="3"/>
  <c r="B27" i="3" s="1"/>
  <c r="B47" i="3" s="1"/>
  <c r="B19" i="3"/>
  <c r="B21" i="3"/>
  <c r="B16" i="3"/>
  <c r="B17" i="3" s="1"/>
  <c r="B13" i="3"/>
  <c r="B48" i="3"/>
  <c r="B53" i="3" s="1"/>
  <c r="B46" i="3"/>
  <c r="B42" i="3"/>
  <c r="B55" i="3" l="1"/>
  <c r="B51" i="3"/>
  <c r="B52" i="3"/>
  <c r="B50" i="3"/>
  <c r="D46" i="61"/>
  <c r="C41" i="61"/>
  <c r="C37" i="61"/>
  <c r="D37" i="61"/>
  <c r="C22" i="61"/>
  <c r="C29" i="61" s="1"/>
  <c r="C17" i="61"/>
  <c r="D22" i="61"/>
  <c r="D29" i="61" s="1"/>
  <c r="D17" i="61"/>
  <c r="C13" i="61"/>
  <c r="D13" i="61"/>
  <c r="C46" i="61"/>
  <c r="C48" i="63" l="1"/>
  <c r="B48" i="63"/>
  <c r="B53" i="63" s="1"/>
  <c r="B41" i="63"/>
  <c r="B37" i="63"/>
  <c r="C37" i="63"/>
  <c r="B29" i="63"/>
  <c r="B27" i="63"/>
  <c r="B47" i="63" s="1"/>
  <c r="B22" i="63"/>
  <c r="B17" i="63"/>
  <c r="B13" i="63"/>
  <c r="B55" i="63"/>
  <c r="B46" i="63"/>
  <c r="B50" i="63" l="1"/>
  <c r="B51" i="63"/>
  <c r="B52" i="63"/>
  <c r="C41" i="11"/>
  <c r="C37" i="11"/>
  <c r="C29" i="11"/>
  <c r="C20" i="11"/>
  <c r="C33" i="11" s="1"/>
  <c r="C34" i="11" s="1"/>
  <c r="C17" i="11"/>
  <c r="C13" i="11"/>
  <c r="C41" i="62" l="1"/>
  <c r="G30" i="62"/>
  <c r="G32" i="62"/>
  <c r="C37" i="62"/>
  <c r="C27" i="62"/>
  <c r="C47" i="62" s="1"/>
  <c r="C55" i="62" s="1"/>
  <c r="C22" i="62"/>
  <c r="C29" i="62" s="1"/>
  <c r="C34" i="62" s="1"/>
  <c r="C17" i="62"/>
  <c r="C13" i="62"/>
  <c r="C52" i="62" l="1"/>
  <c r="C51" i="62"/>
  <c r="C50" i="62"/>
  <c r="J46" i="37"/>
  <c r="I46" i="37"/>
  <c r="D46" i="37"/>
  <c r="C46" i="37"/>
  <c r="C29" i="37"/>
  <c r="C41" i="37"/>
  <c r="C37" i="37"/>
  <c r="D37" i="37"/>
  <c r="C22" i="37"/>
  <c r="C17" i="37"/>
  <c r="D22" i="37"/>
  <c r="D17" i="37"/>
  <c r="C13" i="37"/>
  <c r="D29" i="37" l="1"/>
  <c r="C42" i="8"/>
  <c r="C41" i="8"/>
  <c r="C37" i="8"/>
  <c r="C22" i="8"/>
  <c r="C29" i="8" s="1"/>
  <c r="C17" i="8"/>
  <c r="C13" i="8"/>
  <c r="C41" i="49" l="1"/>
  <c r="C33" i="49"/>
  <c r="C37" i="49"/>
  <c r="C22" i="49"/>
  <c r="C29" i="49" s="1"/>
  <c r="C17" i="49"/>
  <c r="C13" i="49"/>
  <c r="C46" i="49"/>
  <c r="C34" i="49" l="1"/>
  <c r="B41" i="21"/>
  <c r="C25" i="21"/>
  <c r="B25" i="21"/>
  <c r="B21" i="21"/>
  <c r="B55" i="21"/>
  <c r="B46" i="21"/>
  <c r="B37" i="21"/>
  <c r="B48" i="21" s="1"/>
  <c r="B29" i="21"/>
  <c r="B24" i="21"/>
  <c r="B17" i="21"/>
  <c r="B13" i="21"/>
  <c r="B53" i="21" l="1"/>
  <c r="B27" i="21"/>
  <c r="B47" i="21" s="1"/>
  <c r="B46" i="15"/>
  <c r="C46" i="15"/>
  <c r="B55" i="15"/>
  <c r="B53" i="15"/>
  <c r="B52" i="15"/>
  <c r="B51" i="15"/>
  <c r="B50" i="15"/>
  <c r="C47" i="15"/>
  <c r="C51" i="15" s="1"/>
  <c r="B29" i="15"/>
  <c r="B27" i="15"/>
  <c r="B47" i="15" s="1"/>
  <c r="B22" i="15"/>
  <c r="C27" i="15"/>
  <c r="C55" i="15"/>
  <c r="C53" i="15"/>
  <c r="C52" i="15"/>
  <c r="C50" i="15"/>
  <c r="B41" i="15"/>
  <c r="B40" i="15"/>
  <c r="B13" i="15"/>
  <c r="B50" i="21" l="1"/>
  <c r="B51" i="21"/>
  <c r="B52" i="21"/>
  <c r="C40" i="45"/>
  <c r="C41" i="45" s="1"/>
  <c r="D40" i="45"/>
  <c r="D41" i="45" s="1"/>
  <c r="C37" i="45"/>
  <c r="D37" i="45"/>
  <c r="C22" i="45"/>
  <c r="C29" i="45" s="1"/>
  <c r="D22" i="45"/>
  <c r="D29" i="45" s="1"/>
  <c r="E22" i="45"/>
  <c r="F22" i="45"/>
  <c r="C17" i="45"/>
  <c r="D17" i="45"/>
  <c r="C13" i="45"/>
  <c r="D13" i="45"/>
  <c r="C46" i="45"/>
  <c r="D46" i="45"/>
  <c r="C24" i="45" l="1"/>
  <c r="B46" i="27"/>
  <c r="C41" i="27"/>
  <c r="C52" i="27" s="1"/>
  <c r="C55" i="27"/>
  <c r="C53" i="27"/>
  <c r="C51" i="27"/>
  <c r="C50" i="27"/>
  <c r="C47" i="27"/>
  <c r="B27" i="27"/>
  <c r="C27" i="27"/>
  <c r="B53" i="27"/>
  <c r="B41" i="27"/>
  <c r="B37" i="27"/>
  <c r="B29" i="27"/>
  <c r="B47" i="27"/>
  <c r="B55" i="27" s="1"/>
  <c r="B16" i="27"/>
  <c r="B17" i="27" s="1"/>
  <c r="B13" i="27"/>
  <c r="C27" i="45" l="1"/>
  <c r="C47" i="45" s="1"/>
  <c r="C25" i="45"/>
  <c r="B51" i="27"/>
  <c r="B52" i="27"/>
  <c r="B50" i="27"/>
  <c r="B41" i="19"/>
  <c r="B37" i="19"/>
  <c r="B29" i="19"/>
  <c r="B25" i="19"/>
  <c r="B24" i="19"/>
  <c r="B22" i="19"/>
  <c r="B17" i="19"/>
  <c r="B55" i="19"/>
  <c r="B48" i="19"/>
  <c r="B53" i="19" s="1"/>
  <c r="B46" i="19"/>
  <c r="B13" i="19"/>
  <c r="C50" i="45" l="1"/>
  <c r="C52" i="45"/>
  <c r="C51" i="45"/>
  <c r="C55" i="45"/>
  <c r="B26" i="19"/>
  <c r="B27" i="19" s="1"/>
  <c r="B47" i="19" s="1"/>
  <c r="B41" i="94"/>
  <c r="B55" i="94"/>
  <c r="B53" i="94"/>
  <c r="B52" i="94"/>
  <c r="B51" i="94"/>
  <c r="B50" i="94"/>
  <c r="B37" i="94"/>
  <c r="B29" i="94"/>
  <c r="B22" i="94"/>
  <c r="B17" i="94"/>
  <c r="B13" i="94"/>
  <c r="B52" i="19" l="1"/>
  <c r="B51" i="19"/>
  <c r="B50" i="19"/>
  <c r="B52" i="66"/>
  <c r="B51" i="66"/>
  <c r="B48" i="66"/>
  <c r="B53" i="66" s="1"/>
  <c r="B47" i="66"/>
  <c r="B55" i="66" s="1"/>
  <c r="B46" i="66"/>
  <c r="B40" i="66"/>
  <c r="B41" i="66"/>
  <c r="B37" i="66"/>
  <c r="B29" i="66"/>
  <c r="B27" i="66"/>
  <c r="B22" i="66"/>
  <c r="B17" i="66"/>
  <c r="B13" i="66"/>
  <c r="B50" i="66" l="1"/>
  <c r="B51" i="28"/>
  <c r="B48" i="28"/>
  <c r="B53" i="28" s="1"/>
  <c r="B47" i="28"/>
  <c r="B55" i="28" s="1"/>
  <c r="B46" i="28"/>
  <c r="B41" i="28"/>
  <c r="B33" i="28"/>
  <c r="B34" i="28" s="1"/>
  <c r="C33" i="28"/>
  <c r="C34" i="28" s="1"/>
  <c r="B37" i="28"/>
  <c r="B29" i="28"/>
  <c r="B24" i="28"/>
  <c r="B27" i="28" s="1"/>
  <c r="B17" i="28"/>
  <c r="B22" i="28"/>
  <c r="B13" i="28"/>
  <c r="B52" i="28" l="1"/>
  <c r="B50" i="28"/>
  <c r="E46" i="86"/>
  <c r="D46" i="86"/>
  <c r="C46" i="86"/>
  <c r="E50" i="86"/>
  <c r="E41" i="86"/>
  <c r="E55" i="86" s="1"/>
  <c r="C41" i="86"/>
  <c r="D10" i="86"/>
  <c r="C37" i="86"/>
  <c r="C22" i="86"/>
  <c r="C29" i="86" s="1"/>
  <c r="C17" i="86"/>
  <c r="C13" i="86"/>
  <c r="E51" i="86" l="1"/>
  <c r="E52" i="86"/>
  <c r="E53" i="86"/>
  <c r="C41" i="70"/>
  <c r="B25" i="70"/>
  <c r="B40" i="70"/>
  <c r="B41" i="70"/>
  <c r="B53" i="70" s="1"/>
  <c r="B37" i="70"/>
  <c r="B29" i="70"/>
  <c r="D29" i="70"/>
  <c r="B55" i="70"/>
  <c r="C55" i="70"/>
  <c r="C53" i="70"/>
  <c r="C52" i="70"/>
  <c r="C51" i="70"/>
  <c r="C50" i="70"/>
  <c r="B24" i="70"/>
  <c r="B27" i="70" s="1"/>
  <c r="B47" i="70" s="1"/>
  <c r="B50" i="70" s="1"/>
  <c r="B22" i="70"/>
  <c r="B17" i="70"/>
  <c r="C22" i="70"/>
  <c r="C17" i="70"/>
  <c r="D22" i="70"/>
  <c r="D17" i="70"/>
  <c r="B51" i="70" l="1"/>
  <c r="B52" i="70"/>
  <c r="B41" i="105"/>
  <c r="I55" i="105"/>
  <c r="H55" i="105"/>
  <c r="B55" i="105"/>
  <c r="I37" i="105"/>
  <c r="H37" i="105"/>
  <c r="G37" i="105"/>
  <c r="F37" i="105"/>
  <c r="E37" i="105"/>
  <c r="D37" i="105"/>
  <c r="C37" i="105"/>
  <c r="B37" i="105"/>
  <c r="B53" i="105" s="1"/>
  <c r="G29" i="105"/>
  <c r="F29" i="105"/>
  <c r="C29" i="105"/>
  <c r="B29" i="105"/>
  <c r="E24" i="105"/>
  <c r="E27" i="105" s="1"/>
  <c r="I22" i="105"/>
  <c r="I29" i="105" s="1"/>
  <c r="H22" i="105"/>
  <c r="H29" i="105" s="1"/>
  <c r="G22" i="105"/>
  <c r="F22" i="105"/>
  <c r="F24" i="105" s="1"/>
  <c r="F27" i="105" s="1"/>
  <c r="E22" i="105"/>
  <c r="E29" i="105" s="1"/>
  <c r="D22" i="105"/>
  <c r="D29" i="105" s="1"/>
  <c r="C22" i="105"/>
  <c r="C24" i="105" s="1"/>
  <c r="C27" i="105" s="1"/>
  <c r="B22" i="105"/>
  <c r="B24" i="105" s="1"/>
  <c r="B27" i="105" s="1"/>
  <c r="I17" i="105"/>
  <c r="H17" i="105"/>
  <c r="G17" i="105"/>
  <c r="F17" i="105"/>
  <c r="E17" i="105"/>
  <c r="D17" i="105"/>
  <c r="C17" i="105"/>
  <c r="B17" i="105"/>
  <c r="E13" i="105"/>
  <c r="D13" i="105"/>
  <c r="C13" i="105"/>
  <c r="B13" i="105"/>
  <c r="C10" i="105"/>
  <c r="D10" i="105" s="1"/>
  <c r="E10" i="105" s="1"/>
  <c r="F10" i="105" s="1"/>
  <c r="G10" i="105" s="1"/>
  <c r="H10" i="105" s="1"/>
  <c r="I10" i="105" s="1"/>
  <c r="B52" i="105" l="1"/>
  <c r="B51" i="105"/>
  <c r="B50" i="105"/>
  <c r="D24" i="105"/>
  <c r="D27" i="105" s="1"/>
  <c r="J55" i="104"/>
  <c r="J37" i="104"/>
  <c r="J22" i="104"/>
  <c r="J29" i="104" s="1"/>
  <c r="J17" i="104"/>
  <c r="J10" i="104"/>
  <c r="B41" i="104"/>
  <c r="I55" i="104"/>
  <c r="H55" i="104"/>
  <c r="B55" i="104"/>
  <c r="I37" i="104"/>
  <c r="H37" i="104"/>
  <c r="G37" i="104"/>
  <c r="F37" i="104"/>
  <c r="E37" i="104"/>
  <c r="D37" i="104"/>
  <c r="C37" i="104"/>
  <c r="I22" i="104"/>
  <c r="I29" i="104" s="1"/>
  <c r="H22" i="104"/>
  <c r="H29" i="104" s="1"/>
  <c r="G22" i="104"/>
  <c r="G29" i="104" s="1"/>
  <c r="F22" i="104"/>
  <c r="E22" i="104"/>
  <c r="E24" i="104" s="1"/>
  <c r="E27" i="104" s="1"/>
  <c r="D22" i="104"/>
  <c r="D29" i="104" s="1"/>
  <c r="C22" i="104"/>
  <c r="C29" i="104" s="1"/>
  <c r="I17" i="104"/>
  <c r="H17" i="104"/>
  <c r="G17" i="104"/>
  <c r="F17" i="104"/>
  <c r="E17" i="104"/>
  <c r="D17" i="104"/>
  <c r="C17" i="104"/>
  <c r="E13" i="104"/>
  <c r="D13" i="104"/>
  <c r="C13" i="104"/>
  <c r="C10" i="104"/>
  <c r="D10" i="104" s="1"/>
  <c r="E10" i="104" s="1"/>
  <c r="F10" i="104" s="1"/>
  <c r="G10" i="104" s="1"/>
  <c r="H10" i="104" s="1"/>
  <c r="I10" i="104" s="1"/>
  <c r="O32" i="2"/>
  <c r="I32" i="2"/>
  <c r="F29" i="104" l="1"/>
  <c r="B53" i="104"/>
  <c r="B52" i="104"/>
  <c r="B51" i="104"/>
  <c r="B50" i="104"/>
  <c r="C24" i="104"/>
  <c r="C27" i="104" s="1"/>
  <c r="E29" i="104"/>
  <c r="D24" i="104"/>
  <c r="D27" i="104" s="1"/>
  <c r="B41" i="103"/>
  <c r="I55" i="103"/>
  <c r="H55" i="103"/>
  <c r="B55" i="103"/>
  <c r="I37" i="103"/>
  <c r="H37" i="103"/>
  <c r="G37" i="103"/>
  <c r="F37" i="103"/>
  <c r="E37" i="103"/>
  <c r="D37" i="103"/>
  <c r="B53" i="103" s="1"/>
  <c r="C37" i="103"/>
  <c r="B37" i="103"/>
  <c r="H29" i="103"/>
  <c r="D29" i="103"/>
  <c r="I22" i="103"/>
  <c r="I29" i="103" s="1"/>
  <c r="H22" i="103"/>
  <c r="G22" i="103"/>
  <c r="G29" i="103" s="1"/>
  <c r="F22" i="103"/>
  <c r="F29" i="103" s="1"/>
  <c r="E22" i="103"/>
  <c r="E24" i="103" s="1"/>
  <c r="E27" i="103" s="1"/>
  <c r="D22" i="103"/>
  <c r="D24" i="103" s="1"/>
  <c r="D27" i="103" s="1"/>
  <c r="C22" i="103"/>
  <c r="C29" i="103" s="1"/>
  <c r="B22" i="103"/>
  <c r="B29" i="103" s="1"/>
  <c r="I17" i="103"/>
  <c r="H17" i="103"/>
  <c r="G17" i="103"/>
  <c r="F17" i="103"/>
  <c r="E17" i="103"/>
  <c r="D17" i="103"/>
  <c r="C17" i="103"/>
  <c r="B17" i="103"/>
  <c r="E13" i="103"/>
  <c r="D13" i="103"/>
  <c r="C13" i="103"/>
  <c r="B13" i="103"/>
  <c r="C10" i="103"/>
  <c r="D10" i="103" s="1"/>
  <c r="E10" i="103" s="1"/>
  <c r="F10" i="103" s="1"/>
  <c r="G10" i="103" s="1"/>
  <c r="H10" i="103" s="1"/>
  <c r="I10" i="103" s="1"/>
  <c r="J32" i="2"/>
  <c r="I34" i="2"/>
  <c r="J34" i="2"/>
  <c r="O34" i="2"/>
  <c r="C24" i="103" l="1"/>
  <c r="C27" i="103" s="1"/>
  <c r="E29" i="103"/>
  <c r="B24" i="103"/>
  <c r="B27" i="103" s="1"/>
  <c r="F24" i="103"/>
  <c r="F27" i="103" s="1"/>
  <c r="F16" i="16"/>
  <c r="B16" i="16"/>
  <c r="B32" i="16"/>
  <c r="B31" i="16"/>
  <c r="B42" i="16"/>
  <c r="B41" i="16"/>
  <c r="B37" i="16"/>
  <c r="B22" i="16"/>
  <c r="B29" i="16" s="1"/>
  <c r="B17" i="16"/>
  <c r="B13" i="16"/>
  <c r="B48" i="16"/>
  <c r="B53" i="16" s="1"/>
  <c r="B46" i="16"/>
  <c r="E32" i="2"/>
  <c r="I44" i="2"/>
  <c r="O44" i="2"/>
  <c r="F34" i="2"/>
  <c r="B52" i="103" l="1"/>
  <c r="B51" i="103"/>
  <c r="B50" i="103"/>
  <c r="B41" i="84"/>
  <c r="B55" i="84"/>
  <c r="B46" i="84"/>
  <c r="B37" i="84"/>
  <c r="B48" i="84" s="1"/>
  <c r="B53" i="84" s="1"/>
  <c r="B22" i="84"/>
  <c r="B29" i="84" s="1"/>
  <c r="B17" i="84"/>
  <c r="B13" i="84"/>
  <c r="F32" i="2"/>
  <c r="J44" i="2"/>
  <c r="C34" i="2"/>
  <c r="C32" i="2"/>
  <c r="C44" i="2"/>
  <c r="B24" i="84" l="1"/>
  <c r="B27" i="84" s="1"/>
  <c r="B47" i="84" s="1"/>
  <c r="C41" i="25"/>
  <c r="C46" i="25"/>
  <c r="C37" i="25"/>
  <c r="C22" i="25"/>
  <c r="C17" i="25"/>
  <c r="C13" i="25"/>
  <c r="E44" i="2"/>
  <c r="E34" i="2"/>
  <c r="F44" i="2"/>
  <c r="C29" i="25" l="1"/>
  <c r="B50" i="84"/>
  <c r="B51" i="84"/>
  <c r="B52" i="84"/>
  <c r="D50" i="89"/>
  <c r="D41" i="89"/>
  <c r="D55" i="89" s="1"/>
  <c r="B55" i="89"/>
  <c r="B53" i="89"/>
  <c r="B52" i="89"/>
  <c r="B51" i="89"/>
  <c r="B50" i="89"/>
  <c r="B46" i="89"/>
  <c r="B48" i="89"/>
  <c r="B47" i="89"/>
  <c r="B41" i="89"/>
  <c r="B40" i="89"/>
  <c r="F37" i="89"/>
  <c r="B37" i="89"/>
  <c r="B22" i="89"/>
  <c r="B29" i="89" s="1"/>
  <c r="B17" i="89"/>
  <c r="B13" i="89"/>
  <c r="D51" i="89" l="1"/>
  <c r="D52" i="89"/>
  <c r="D53" i="89"/>
  <c r="B27" i="89"/>
  <c r="C42" i="44"/>
  <c r="C41" i="44"/>
  <c r="C37" i="44"/>
  <c r="C22" i="44"/>
  <c r="C29" i="44" s="1"/>
  <c r="C17" i="44"/>
  <c r="C13" i="44"/>
  <c r="C46" i="44"/>
  <c r="C41" i="13" l="1"/>
  <c r="C51" i="13" s="1"/>
  <c r="C37" i="13"/>
  <c r="C29" i="13"/>
  <c r="C24" i="13"/>
  <c r="C25" i="13" s="1"/>
  <c r="C21" i="13"/>
  <c r="C33" i="13" s="1"/>
  <c r="C34" i="13" s="1"/>
  <c r="C17" i="13"/>
  <c r="C55" i="13"/>
  <c r="C47" i="13"/>
  <c r="C52" i="13" s="1"/>
  <c r="C13" i="13"/>
  <c r="C50" i="13" l="1"/>
  <c r="C40" i="12"/>
  <c r="C41" i="12" s="1"/>
  <c r="C37" i="12"/>
  <c r="C22" i="12"/>
  <c r="C29" i="12" s="1"/>
  <c r="C17" i="12"/>
  <c r="C13" i="12"/>
  <c r="C46" i="69" l="1"/>
  <c r="C41" i="69"/>
  <c r="C37" i="69"/>
  <c r="C22" i="69"/>
  <c r="C29" i="69" s="1"/>
  <c r="C17" i="69"/>
  <c r="C13" i="69"/>
  <c r="C41" i="47" l="1"/>
  <c r="C37" i="47"/>
  <c r="C29" i="47"/>
  <c r="C24" i="47"/>
  <c r="C17" i="47"/>
  <c r="D17" i="47"/>
  <c r="C21" i="47"/>
  <c r="C33" i="47" s="1"/>
  <c r="C34" i="47" s="1"/>
  <c r="D21" i="47"/>
  <c r="C13" i="47"/>
  <c r="C25" i="47" l="1"/>
  <c r="C27" i="47" s="1"/>
  <c r="C47" i="47" s="1"/>
  <c r="D41" i="91"/>
  <c r="E50" i="91"/>
  <c r="E41" i="91"/>
  <c r="E55" i="91" s="1"/>
  <c r="C46" i="91"/>
  <c r="C41" i="91"/>
  <c r="C37" i="91"/>
  <c r="C22" i="91"/>
  <c r="C29" i="91" s="1"/>
  <c r="C17" i="91"/>
  <c r="C13" i="91"/>
  <c r="C55" i="47" l="1"/>
  <c r="C50" i="47"/>
  <c r="C52" i="47"/>
  <c r="C51" i="47"/>
  <c r="E51" i="91"/>
  <c r="E52" i="91"/>
  <c r="E53" i="91"/>
  <c r="C27" i="91"/>
  <c r="C47" i="91" s="1"/>
  <c r="C50" i="91" s="1"/>
  <c r="C41" i="41"/>
  <c r="C37" i="41"/>
  <c r="C22" i="41"/>
  <c r="C29" i="41" s="1"/>
  <c r="C34" i="41" s="1"/>
  <c r="C17" i="41"/>
  <c r="C13" i="41"/>
  <c r="C46" i="41"/>
  <c r="C55" i="91" l="1"/>
  <c r="C52" i="91"/>
  <c r="C51" i="91"/>
  <c r="B40" i="39"/>
  <c r="B41" i="39"/>
  <c r="B25" i="39"/>
  <c r="B55" i="39"/>
  <c r="B48" i="39"/>
  <c r="B46" i="39"/>
  <c r="B33" i="39"/>
  <c r="B37" i="39"/>
  <c r="B22" i="39"/>
  <c r="B29" i="39" s="1"/>
  <c r="B17" i="39"/>
  <c r="B13" i="39"/>
  <c r="B53" i="39" l="1"/>
  <c r="B24" i="39"/>
  <c r="B27" i="39"/>
  <c r="B47" i="39" s="1"/>
  <c r="B41" i="38"/>
  <c r="B52" i="39" l="1"/>
  <c r="B51" i="39"/>
  <c r="B50" i="39"/>
  <c r="B37" i="38"/>
  <c r="B22" i="38"/>
  <c r="B29" i="38" s="1"/>
  <c r="B17" i="38"/>
  <c r="B13" i="38"/>
  <c r="B55" i="38"/>
  <c r="B46" i="38"/>
  <c r="B24" i="38" l="1"/>
  <c r="B27" i="38" s="1"/>
  <c r="B47" i="38" s="1"/>
  <c r="B50" i="38" s="1"/>
  <c r="B52" i="38"/>
  <c r="B51" i="38"/>
  <c r="B48" i="93"/>
  <c r="B47" i="93"/>
  <c r="B46" i="93"/>
  <c r="C24" i="93"/>
  <c r="C27" i="93" s="1"/>
  <c r="C47" i="93"/>
  <c r="B55" i="93"/>
  <c r="B53" i="93"/>
  <c r="B52" i="93"/>
  <c r="B51" i="93"/>
  <c r="B50" i="93"/>
  <c r="B41" i="93"/>
  <c r="B37" i="93"/>
  <c r="B22" i="93"/>
  <c r="B29" i="93" s="1"/>
  <c r="B17" i="93"/>
  <c r="B13" i="93"/>
  <c r="C41" i="50" l="1"/>
  <c r="C17" i="50"/>
  <c r="C46" i="50"/>
  <c r="C37" i="50"/>
  <c r="C22" i="50"/>
  <c r="C29" i="50" s="1"/>
  <c r="C13" i="50"/>
  <c r="C40" i="87" l="1"/>
  <c r="C41" i="87" s="1"/>
  <c r="C53" i="87" s="1"/>
  <c r="G22" i="87"/>
  <c r="G17" i="87"/>
  <c r="C13" i="87"/>
  <c r="C47" i="87" l="1"/>
  <c r="B41" i="74"/>
  <c r="B51" i="74" s="1"/>
  <c r="C41" i="74"/>
  <c r="B55" i="74"/>
  <c r="B53" i="74"/>
  <c r="B52" i="74"/>
  <c r="B50" i="74"/>
  <c r="B48" i="74"/>
  <c r="C48" i="74"/>
  <c r="B46" i="74"/>
  <c r="C46" i="74"/>
  <c r="B47" i="74"/>
  <c r="C47" i="74"/>
  <c r="B37" i="74"/>
  <c r="C37" i="74"/>
  <c r="B33" i="74"/>
  <c r="B34" i="74" s="1"/>
  <c r="C33" i="74"/>
  <c r="C34" i="74" s="1"/>
  <c r="B29" i="74"/>
  <c r="C29" i="74"/>
  <c r="B25" i="74"/>
  <c r="C25" i="74"/>
  <c r="D25" i="74"/>
  <c r="E25" i="74"/>
  <c r="F25" i="74"/>
  <c r="B24" i="74"/>
  <c r="C24" i="74"/>
  <c r="C27" i="74" s="1"/>
  <c r="B22" i="74"/>
  <c r="B17" i="74"/>
  <c r="C22" i="74"/>
  <c r="C17" i="74"/>
  <c r="D22" i="74"/>
  <c r="D17" i="74"/>
  <c r="E22" i="74"/>
  <c r="E17" i="74"/>
  <c r="F22" i="74"/>
  <c r="F17" i="74"/>
  <c r="G22" i="74"/>
  <c r="G17" i="74"/>
  <c r="H22" i="74"/>
  <c r="H17" i="74"/>
  <c r="I22" i="74"/>
  <c r="I17" i="74"/>
  <c r="B13" i="74"/>
  <c r="C13" i="74"/>
  <c r="C55" i="87" l="1"/>
  <c r="C50" i="87"/>
  <c r="C52" i="87"/>
  <c r="C51" i="87"/>
  <c r="B27" i="74"/>
  <c r="C42" i="23"/>
  <c r="C32" i="23"/>
  <c r="C37" i="23"/>
  <c r="C41" i="23"/>
  <c r="C22" i="23"/>
  <c r="C29" i="23" s="1"/>
  <c r="C34" i="23" s="1"/>
  <c r="C17" i="23"/>
  <c r="C13" i="23"/>
  <c r="C46" i="79" l="1"/>
  <c r="D46" i="79"/>
  <c r="C41" i="79"/>
  <c r="D41" i="79"/>
  <c r="C37" i="79"/>
  <c r="D37" i="79"/>
  <c r="C13" i="79"/>
  <c r="C22" i="79"/>
  <c r="C29" i="79" s="1"/>
  <c r="C17" i="79"/>
  <c r="D40" i="30" l="1"/>
  <c r="C41" i="30"/>
  <c r="C40" i="30"/>
  <c r="C37" i="30"/>
  <c r="C22" i="30"/>
  <c r="C17" i="30"/>
  <c r="C13" i="30"/>
  <c r="C29" i="30" l="1"/>
  <c r="C41" i="75"/>
  <c r="C37" i="75"/>
  <c r="D37" i="75"/>
  <c r="C29" i="75"/>
  <c r="C22" i="75"/>
  <c r="C17" i="75"/>
  <c r="D22" i="75"/>
  <c r="D17" i="75"/>
  <c r="C13" i="75"/>
  <c r="D13" i="75"/>
  <c r="D29" i="75" l="1"/>
  <c r="C41" i="81"/>
  <c r="C55" i="81"/>
  <c r="C46" i="81"/>
  <c r="C37" i="81"/>
  <c r="C22" i="81"/>
  <c r="C29" i="81" s="1"/>
  <c r="C17" i="81"/>
  <c r="C13" i="81"/>
  <c r="C40" i="29" l="1"/>
  <c r="C41" i="29" s="1"/>
  <c r="D40" i="29"/>
  <c r="D41" i="29" s="1"/>
  <c r="C37" i="29"/>
  <c r="D37" i="29"/>
  <c r="D29" i="29"/>
  <c r="C22" i="29"/>
  <c r="C29" i="29" s="1"/>
  <c r="C17" i="29"/>
  <c r="D22" i="29"/>
  <c r="D17" i="29"/>
  <c r="C13" i="29"/>
  <c r="D13" i="29"/>
  <c r="C55" i="29"/>
  <c r="C46" i="29"/>
  <c r="D55" i="29"/>
  <c r="D46" i="29"/>
  <c r="B55" i="40" l="1"/>
  <c r="B53" i="40"/>
  <c r="B52" i="40"/>
  <c r="B51" i="40"/>
  <c r="B50" i="40"/>
  <c r="B41" i="40"/>
  <c r="B40" i="40"/>
  <c r="C55" i="40" l="1"/>
  <c r="C48" i="40"/>
  <c r="C53" i="40" s="1"/>
  <c r="C47" i="40"/>
  <c r="C51" i="40" s="1"/>
  <c r="C46" i="40"/>
  <c r="C41" i="40"/>
  <c r="C27" i="40"/>
  <c r="C29" i="40"/>
  <c r="C34" i="40"/>
  <c r="C37" i="40"/>
  <c r="C22" i="40"/>
  <c r="C24" i="40" s="1"/>
  <c r="C17" i="40"/>
  <c r="C13" i="40"/>
  <c r="C50" i="40" l="1"/>
  <c r="C52" i="40"/>
  <c r="C41" i="54"/>
  <c r="D41" i="54"/>
  <c r="C37" i="54"/>
  <c r="D37" i="54"/>
  <c r="D33" i="54"/>
  <c r="C27" i="54"/>
  <c r="D27" i="54"/>
  <c r="C22" i="54"/>
  <c r="C29" i="54" s="1"/>
  <c r="C17" i="54"/>
  <c r="D22" i="54"/>
  <c r="D29" i="54" s="1"/>
  <c r="D17" i="54"/>
  <c r="C13" i="54"/>
  <c r="C47" i="54"/>
  <c r="C51" i="54" s="1"/>
  <c r="D47" i="54"/>
  <c r="D50" i="54" s="1"/>
  <c r="C50" i="54" l="1"/>
  <c r="D34" i="54"/>
  <c r="C34" i="54"/>
  <c r="C52" i="54"/>
  <c r="D51" i="54"/>
  <c r="D52" i="54"/>
  <c r="B25" i="59"/>
  <c r="B22" i="59"/>
  <c r="B41" i="59"/>
  <c r="B40" i="59"/>
  <c r="B24" i="59"/>
  <c r="B17" i="59"/>
  <c r="B36" i="59"/>
  <c r="B35" i="59"/>
  <c r="B32" i="59"/>
  <c r="B37" i="59"/>
  <c r="B48" i="59" s="1"/>
  <c r="B53" i="59" s="1"/>
  <c r="B33" i="59"/>
  <c r="B29" i="59"/>
  <c r="B34" i="59" s="1"/>
  <c r="B30" i="59"/>
  <c r="B31" i="59"/>
  <c r="B13" i="59"/>
  <c r="B12" i="59"/>
  <c r="B46" i="59"/>
  <c r="B27" i="59" l="1"/>
  <c r="B47" i="59" s="1"/>
  <c r="B41" i="76"/>
  <c r="B31" i="76"/>
  <c r="B32" i="76"/>
  <c r="B37" i="76"/>
  <c r="B42" i="76"/>
  <c r="B48" i="76"/>
  <c r="B53" i="76" s="1"/>
  <c r="B46" i="76"/>
  <c r="B22" i="76"/>
  <c r="B24" i="76" s="1"/>
  <c r="B27" i="76" s="1"/>
  <c r="B47" i="76" s="1"/>
  <c r="B17" i="76"/>
  <c r="B13" i="76"/>
  <c r="B50" i="59" l="1"/>
  <c r="B51" i="59"/>
  <c r="B52" i="59"/>
  <c r="B55" i="59"/>
  <c r="B50" i="76"/>
  <c r="B55" i="76"/>
  <c r="B51" i="76"/>
  <c r="B29" i="76"/>
  <c r="B52" i="76"/>
  <c r="C40" i="73"/>
  <c r="C41" i="73" s="1"/>
  <c r="C35" i="73"/>
  <c r="C36" i="73"/>
  <c r="C37" i="73" s="1"/>
  <c r="C30" i="73"/>
  <c r="C31" i="73"/>
  <c r="C42" i="73"/>
  <c r="C13" i="73"/>
  <c r="D41" i="25" l="1"/>
  <c r="D37" i="25"/>
  <c r="D22" i="25"/>
  <c r="D29" i="25" s="1"/>
  <c r="D17" i="25"/>
  <c r="D13" i="25"/>
  <c r="D46" i="25"/>
  <c r="C46" i="21" l="1"/>
  <c r="D46" i="21"/>
  <c r="E46" i="21"/>
  <c r="F46" i="21"/>
  <c r="G46" i="21"/>
  <c r="H46" i="21"/>
  <c r="C41" i="21"/>
  <c r="C37" i="21"/>
  <c r="C29" i="21"/>
  <c r="C27" i="21"/>
  <c r="C24" i="21"/>
  <c r="C21" i="21"/>
  <c r="C17" i="21"/>
  <c r="C13" i="21"/>
  <c r="C47" i="21"/>
  <c r="C50" i="21" s="1"/>
  <c r="C55" i="21" l="1"/>
  <c r="C52" i="21"/>
  <c r="C51" i="21"/>
  <c r="C41" i="102"/>
  <c r="C55" i="102" s="1"/>
  <c r="J55" i="102"/>
  <c r="G37" i="102"/>
  <c r="F37" i="102"/>
  <c r="C37" i="102"/>
  <c r="G22" i="102"/>
  <c r="F22" i="102"/>
  <c r="F29" i="102" s="1"/>
  <c r="C22" i="102"/>
  <c r="G17" i="102"/>
  <c r="F17" i="102"/>
  <c r="C17" i="102"/>
  <c r="C13" i="102"/>
  <c r="D10" i="102"/>
  <c r="E10" i="102" s="1"/>
  <c r="F10" i="102" s="1"/>
  <c r="G10" i="102" s="1"/>
  <c r="H10" i="102" s="1"/>
  <c r="I10" i="102" s="1"/>
  <c r="J10" i="102" s="1"/>
  <c r="B27" i="102" l="1"/>
  <c r="G29" i="102"/>
  <c r="C53" i="102"/>
  <c r="C29" i="102"/>
  <c r="C52" i="102"/>
  <c r="C51" i="102"/>
  <c r="C50" i="102"/>
  <c r="B41" i="101"/>
  <c r="I55" i="101"/>
  <c r="H55" i="101"/>
  <c r="B55" i="101"/>
  <c r="I37" i="101"/>
  <c r="H37" i="101"/>
  <c r="G37" i="101"/>
  <c r="F37" i="101"/>
  <c r="E37" i="101"/>
  <c r="D37" i="101"/>
  <c r="C37" i="101"/>
  <c r="B37" i="101"/>
  <c r="B53" i="101" s="1"/>
  <c r="I29" i="101"/>
  <c r="F29" i="101"/>
  <c r="E29" i="101"/>
  <c r="B29" i="101"/>
  <c r="I22" i="101"/>
  <c r="H22" i="101"/>
  <c r="H29" i="101" s="1"/>
  <c r="G22" i="101"/>
  <c r="G29" i="101" s="1"/>
  <c r="F22" i="101"/>
  <c r="F24" i="101" s="1"/>
  <c r="F27" i="101" s="1"/>
  <c r="E22" i="101"/>
  <c r="E24" i="101" s="1"/>
  <c r="E27" i="101" s="1"/>
  <c r="D22" i="101"/>
  <c r="D29" i="101" s="1"/>
  <c r="C22" i="101"/>
  <c r="C29" i="101" s="1"/>
  <c r="B22" i="101"/>
  <c r="B24" i="101" s="1"/>
  <c r="B27" i="101" s="1"/>
  <c r="I17" i="101"/>
  <c r="H17" i="101"/>
  <c r="G17" i="101"/>
  <c r="F17" i="101"/>
  <c r="E17" i="101"/>
  <c r="D17" i="101"/>
  <c r="C17" i="101"/>
  <c r="B17" i="101"/>
  <c r="E13" i="101"/>
  <c r="D13" i="101"/>
  <c r="C13" i="101"/>
  <c r="B13" i="101"/>
  <c r="C10" i="101"/>
  <c r="D10" i="101" s="1"/>
  <c r="E10" i="101" s="1"/>
  <c r="F10" i="101" s="1"/>
  <c r="G10" i="101" s="1"/>
  <c r="H10" i="101" s="1"/>
  <c r="I10" i="101" s="1"/>
  <c r="O50" i="2"/>
  <c r="I50" i="2"/>
  <c r="B52" i="101" l="1"/>
  <c r="B51" i="101"/>
  <c r="B50" i="101"/>
  <c r="C24" i="101"/>
  <c r="C27" i="101" s="1"/>
  <c r="D24" i="101"/>
  <c r="D27" i="101" s="1"/>
  <c r="C41" i="100"/>
  <c r="J55" i="100"/>
  <c r="I55" i="100"/>
  <c r="H55" i="100"/>
  <c r="C55" i="100"/>
  <c r="F37" i="100"/>
  <c r="C53" i="100"/>
  <c r="F22" i="100"/>
  <c r="F17" i="100"/>
  <c r="D10" i="100"/>
  <c r="E10" i="100" s="1"/>
  <c r="F10" i="100" s="1"/>
  <c r="G10" i="100" s="1"/>
  <c r="H10" i="100" s="1"/>
  <c r="I10" i="100" s="1"/>
  <c r="J10" i="100" s="1"/>
  <c r="I49" i="2"/>
  <c r="J49" i="2"/>
  <c r="O31" i="2"/>
  <c r="C49" i="2"/>
  <c r="O49" i="2"/>
  <c r="J50" i="2"/>
  <c r="I31" i="2"/>
  <c r="F29" i="100" l="1"/>
  <c r="C50" i="100"/>
  <c r="C52" i="100"/>
  <c r="C51" i="100"/>
  <c r="D41" i="75"/>
  <c r="E50" i="2"/>
  <c r="J31" i="2"/>
  <c r="F50" i="2"/>
  <c r="D41" i="62" l="1"/>
  <c r="D27" i="62"/>
  <c r="D55" i="62"/>
  <c r="D47" i="62"/>
  <c r="D50" i="62" s="1"/>
  <c r="C31" i="2"/>
  <c r="F49" i="2"/>
  <c r="C50" i="2"/>
  <c r="F31" i="2"/>
  <c r="E31" i="2"/>
  <c r="E49" i="2"/>
  <c r="F110" i="2"/>
  <c r="D51" i="62" l="1"/>
  <c r="D52" i="62"/>
  <c r="C50" i="85"/>
  <c r="C41" i="85"/>
  <c r="C55" i="85" s="1"/>
  <c r="C52" i="85" l="1"/>
  <c r="C51" i="85"/>
  <c r="C53" i="85"/>
  <c r="C50" i="74"/>
  <c r="C53" i="74"/>
  <c r="C55" i="74" l="1"/>
  <c r="C51" i="74"/>
  <c r="C52" i="74"/>
  <c r="C46" i="20"/>
  <c r="D46" i="20"/>
  <c r="C41" i="20"/>
  <c r="D41" i="20"/>
  <c r="C37" i="20"/>
  <c r="D37" i="20"/>
  <c r="C29" i="20"/>
  <c r="C22" i="20"/>
  <c r="C17" i="20"/>
  <c r="D22" i="20"/>
  <c r="D29" i="20" s="1"/>
  <c r="D17" i="20"/>
  <c r="C13" i="20"/>
  <c r="D13" i="20"/>
  <c r="D41" i="30" l="1"/>
  <c r="D12" i="30"/>
  <c r="C46" i="30" s="1"/>
  <c r="H12" i="30"/>
  <c r="D22" i="30"/>
  <c r="D29" i="30" l="1"/>
  <c r="D13" i="30"/>
  <c r="D17" i="30"/>
  <c r="D46" i="30"/>
  <c r="D42" i="44"/>
  <c r="D41" i="44"/>
  <c r="D37" i="44"/>
  <c r="D22" i="44"/>
  <c r="D17" i="44"/>
  <c r="D13" i="44"/>
  <c r="D46" i="44"/>
  <c r="D29" i="44" l="1"/>
  <c r="D41" i="41"/>
  <c r="D37" i="41"/>
  <c r="D22" i="41"/>
  <c r="D17" i="41"/>
  <c r="D13" i="41"/>
  <c r="D46" i="41"/>
  <c r="D29" i="41" l="1"/>
  <c r="D34" i="41" s="1"/>
  <c r="D41" i="37"/>
  <c r="D41" i="49" l="1"/>
  <c r="D33" i="49"/>
  <c r="D37" i="49"/>
  <c r="D22" i="49"/>
  <c r="D29" i="49" s="1"/>
  <c r="D34" i="49" s="1"/>
  <c r="D17" i="49"/>
  <c r="D46" i="49"/>
  <c r="D13" i="49"/>
  <c r="B55" i="83" l="1"/>
  <c r="B53" i="83"/>
  <c r="B52" i="83"/>
  <c r="B51" i="83"/>
  <c r="B50" i="83"/>
  <c r="B41" i="83"/>
  <c r="B37" i="83"/>
  <c r="B24" i="83"/>
  <c r="B27" i="83" s="1"/>
  <c r="B22" i="83"/>
  <c r="B29" i="83" s="1"/>
  <c r="B17" i="83"/>
  <c r="B13" i="83"/>
  <c r="D40" i="12" l="1"/>
  <c r="D41" i="12" s="1"/>
  <c r="D37" i="12"/>
  <c r="D22" i="12"/>
  <c r="D17" i="12"/>
  <c r="D29" i="12" l="1"/>
  <c r="D40" i="47"/>
  <c r="D41" i="47" s="1"/>
  <c r="D31" i="47"/>
  <c r="D30" i="47"/>
  <c r="D35" i="47"/>
  <c r="D37" i="47" s="1"/>
  <c r="D24" i="47"/>
  <c r="D25" i="47" s="1"/>
  <c r="D29" i="47"/>
  <c r="D33" i="47"/>
  <c r="D36" i="47"/>
  <c r="D27" i="47" l="1"/>
  <c r="D47" i="47" s="1"/>
  <c r="D55" i="47"/>
  <c r="D50" i="47"/>
  <c r="D51" i="47"/>
  <c r="D52" i="47"/>
  <c r="D29" i="6"/>
  <c r="D27" i="87" l="1"/>
  <c r="D47" i="87" s="1"/>
  <c r="D40" i="87"/>
  <c r="D41" i="87" s="1"/>
  <c r="D53" i="87" s="1"/>
  <c r="D51" i="87" l="1"/>
  <c r="D50" i="87"/>
  <c r="D55" i="87"/>
  <c r="D52" i="87"/>
  <c r="D13" i="79"/>
  <c r="D22" i="79"/>
  <c r="D17" i="79"/>
  <c r="D29" i="79" l="1"/>
  <c r="D55" i="81"/>
  <c r="D46" i="81"/>
  <c r="D40" i="81"/>
  <c r="D41" i="81"/>
  <c r="D37" i="81"/>
  <c r="D22" i="81"/>
  <c r="D17" i="81"/>
  <c r="D13" i="81"/>
  <c r="D29" i="81" l="1"/>
  <c r="D41" i="11"/>
  <c r="B30" i="34" l="1"/>
  <c r="B31" i="34"/>
  <c r="B32" i="34"/>
  <c r="B37" i="34"/>
  <c r="B35" i="34"/>
  <c r="B36" i="34"/>
  <c r="B41" i="34"/>
  <c r="B40" i="34"/>
  <c r="B16" i="34"/>
  <c r="F16" i="34"/>
  <c r="B22" i="34"/>
  <c r="B29" i="34" s="1"/>
  <c r="B17" i="34"/>
  <c r="B12" i="34"/>
  <c r="B55" i="34"/>
  <c r="B48" i="34"/>
  <c r="B53" i="34" s="1"/>
  <c r="B46" i="34"/>
  <c r="B13" i="34"/>
  <c r="B24" i="34" l="1"/>
  <c r="B27" i="34" s="1"/>
  <c r="B47" i="34" s="1"/>
  <c r="B41" i="9"/>
  <c r="B30" i="9"/>
  <c r="B32" i="9"/>
  <c r="B35" i="9"/>
  <c r="B36" i="9"/>
  <c r="B31" i="9"/>
  <c r="B29" i="9"/>
  <c r="B25" i="9"/>
  <c r="B24" i="9"/>
  <c r="B22" i="9"/>
  <c r="B16" i="9"/>
  <c r="B17" i="9"/>
  <c r="B20" i="9"/>
  <c r="B21" i="9"/>
  <c r="F21" i="9"/>
  <c r="F20" i="9"/>
  <c r="F16" i="9"/>
  <c r="B13" i="9"/>
  <c r="B55" i="9"/>
  <c r="B51" i="9"/>
  <c r="B50" i="9"/>
  <c r="B47" i="9"/>
  <c r="B52" i="9" s="1"/>
  <c r="B46" i="9"/>
  <c r="B52" i="34" l="1"/>
  <c r="B50" i="34"/>
  <c r="B51" i="34"/>
  <c r="B37" i="9"/>
  <c r="B48" i="9" s="1"/>
  <c r="B53" i="9" s="1"/>
  <c r="G32" i="59"/>
  <c r="C32" i="59"/>
  <c r="C33" i="59"/>
  <c r="C34" i="59"/>
  <c r="C37" i="59"/>
  <c r="C40" i="59"/>
  <c r="C16" i="59"/>
  <c r="C17" i="59" s="1"/>
  <c r="C29" i="59"/>
  <c r="C13" i="59"/>
  <c r="C48" i="59"/>
  <c r="C53" i="59" s="1"/>
  <c r="C46" i="59"/>
  <c r="D21" i="13" l="1"/>
  <c r="D16" i="13"/>
  <c r="D24" i="13"/>
  <c r="D25" i="13" s="1"/>
  <c r="D41" i="13"/>
  <c r="D51" i="13" s="1"/>
  <c r="D36" i="13"/>
  <c r="D35" i="13"/>
  <c r="D37" i="13" s="1"/>
  <c r="H36" i="13"/>
  <c r="H35" i="13"/>
  <c r="D33" i="13"/>
  <c r="D29" i="13"/>
  <c r="D30" i="13"/>
  <c r="D31" i="13"/>
  <c r="H31" i="13"/>
  <c r="H30" i="13"/>
  <c r="D12" i="13"/>
  <c r="D55" i="13"/>
  <c r="D47" i="13"/>
  <c r="D52" i="13" s="1"/>
  <c r="D17" i="13" l="1"/>
  <c r="D46" i="13"/>
  <c r="C46" i="13"/>
  <c r="D50" i="13"/>
  <c r="D40" i="61" l="1"/>
  <c r="D41" i="61" s="1"/>
  <c r="G32" i="7" l="1"/>
  <c r="G31" i="7"/>
  <c r="G30" i="7"/>
  <c r="G36" i="7"/>
  <c r="G35" i="7"/>
  <c r="C37" i="7"/>
  <c r="C36" i="7"/>
  <c r="C35" i="7"/>
  <c r="C32" i="7"/>
  <c r="C31" i="7"/>
  <c r="C30" i="7"/>
  <c r="C40" i="7"/>
  <c r="C22" i="7"/>
  <c r="C29" i="7" s="1"/>
  <c r="C17" i="7"/>
  <c r="C16" i="7"/>
  <c r="G16" i="7"/>
  <c r="C13" i="7"/>
  <c r="C12" i="7"/>
  <c r="C41" i="7"/>
  <c r="D40" i="7"/>
  <c r="D41" i="7" s="1"/>
  <c r="D30" i="7"/>
  <c r="D31" i="7"/>
  <c r="D32" i="7"/>
  <c r="D37" i="7"/>
  <c r="D36" i="7"/>
  <c r="D35" i="7"/>
  <c r="H36" i="7"/>
  <c r="H35" i="7"/>
  <c r="H32" i="7"/>
  <c r="H31" i="7"/>
  <c r="H30" i="7"/>
  <c r="D29" i="7"/>
  <c r="D22" i="7"/>
  <c r="D17" i="7"/>
  <c r="H16" i="7"/>
  <c r="D16" i="7"/>
  <c r="D12" i="7"/>
  <c r="H12" i="7"/>
  <c r="D13" i="7" s="1"/>
  <c r="C48" i="7"/>
  <c r="C53" i="7" s="1"/>
  <c r="C46" i="7"/>
  <c r="C24" i="7" l="1"/>
  <c r="C27" i="7" s="1"/>
  <c r="C47" i="7" s="1"/>
  <c r="C52" i="7" s="1"/>
  <c r="D42" i="68"/>
  <c r="D41" i="68"/>
  <c r="D12" i="68"/>
  <c r="H12" i="68"/>
  <c r="D22" i="68"/>
  <c r="D17" i="68" l="1"/>
  <c r="D46" i="68"/>
  <c r="C46" i="68"/>
  <c r="H46" i="68"/>
  <c r="G46" i="68"/>
  <c r="F46" i="68"/>
  <c r="E46" i="68"/>
  <c r="D29" i="68"/>
  <c r="C50" i="7"/>
  <c r="C51" i="7"/>
  <c r="C55" i="7"/>
  <c r="D13" i="68"/>
  <c r="C41" i="63"/>
  <c r="C40" i="63"/>
  <c r="C29" i="63"/>
  <c r="C27" i="63"/>
  <c r="C22" i="63"/>
  <c r="C17" i="63"/>
  <c r="G22" i="63"/>
  <c r="G17" i="63"/>
  <c r="C13" i="63" l="1"/>
  <c r="D13" i="63"/>
  <c r="G13" i="63"/>
  <c r="C46" i="63" l="1"/>
  <c r="D46" i="63"/>
  <c r="C55" i="63"/>
  <c r="C53" i="63"/>
  <c r="C47" i="63"/>
  <c r="C50" i="63" s="1"/>
  <c r="C51" i="63" l="1"/>
  <c r="C52" i="63"/>
  <c r="D42" i="73"/>
  <c r="D40" i="73"/>
  <c r="D41" i="73" s="1"/>
  <c r="D32" i="73"/>
  <c r="C32" i="73" s="1"/>
  <c r="H32" i="73"/>
  <c r="D37" i="73"/>
  <c r="D13" i="73"/>
  <c r="C48" i="84" l="1"/>
  <c r="C53" i="84" s="1"/>
  <c r="C46" i="84"/>
  <c r="C47" i="84"/>
  <c r="C55" i="84" s="1"/>
  <c r="C51" i="84"/>
  <c r="C50" i="84"/>
  <c r="C37" i="84"/>
  <c r="C22" i="84"/>
  <c r="C29" i="84" s="1"/>
  <c r="C17" i="84"/>
  <c r="C13" i="84"/>
  <c r="C41" i="84"/>
  <c r="C52" i="84" l="1"/>
  <c r="C25" i="39"/>
  <c r="C41" i="39"/>
  <c r="C40" i="39"/>
  <c r="C33" i="39"/>
  <c r="C37" i="39"/>
  <c r="C24" i="39"/>
  <c r="C22" i="39"/>
  <c r="C29" i="39" s="1"/>
  <c r="C17" i="39"/>
  <c r="C13" i="39"/>
  <c r="C48" i="39"/>
  <c r="C53" i="39" s="1"/>
  <c r="C46" i="39"/>
  <c r="C27" i="39" l="1"/>
  <c r="C47" i="39" s="1"/>
  <c r="C55" i="39" s="1"/>
  <c r="C51" i="38"/>
  <c r="C47" i="38"/>
  <c r="C55" i="38" s="1"/>
  <c r="C46" i="38"/>
  <c r="C40" i="38"/>
  <c r="C41" i="38" s="1"/>
  <c r="C37" i="38"/>
  <c r="B48" i="38" s="1"/>
  <c r="B53" i="38" s="1"/>
  <c r="C22" i="38"/>
  <c r="C29" i="38" s="1"/>
  <c r="C17" i="38"/>
  <c r="C13" i="38"/>
  <c r="C48" i="38" l="1"/>
  <c r="C53" i="38" s="1"/>
  <c r="C50" i="39"/>
  <c r="C51" i="39"/>
  <c r="C52" i="39"/>
  <c r="C52" i="38"/>
  <c r="C50" i="38"/>
  <c r="C24" i="38"/>
  <c r="C27" i="38" s="1"/>
  <c r="B41" i="99"/>
  <c r="B40" i="99"/>
  <c r="I55" i="99"/>
  <c r="H55" i="99"/>
  <c r="G55" i="99"/>
  <c r="B55" i="99"/>
  <c r="I37" i="99"/>
  <c r="H37" i="99"/>
  <c r="G37" i="99"/>
  <c r="F37" i="99"/>
  <c r="E37" i="99"/>
  <c r="D37" i="99"/>
  <c r="C37" i="99"/>
  <c r="B37" i="99"/>
  <c r="B53" i="99" s="1"/>
  <c r="I29" i="99"/>
  <c r="E29" i="99"/>
  <c r="I22" i="99"/>
  <c r="H22" i="99"/>
  <c r="H29" i="99" s="1"/>
  <c r="G22" i="99"/>
  <c r="G29" i="99" s="1"/>
  <c r="F22" i="99"/>
  <c r="F24" i="99" s="1"/>
  <c r="F27" i="99" s="1"/>
  <c r="E22" i="99"/>
  <c r="E24" i="99" s="1"/>
  <c r="E27" i="99" s="1"/>
  <c r="D22" i="99"/>
  <c r="D29" i="99" s="1"/>
  <c r="C22" i="99"/>
  <c r="C24" i="99" s="1"/>
  <c r="C27" i="99" s="1"/>
  <c r="B22" i="99"/>
  <c r="B24" i="99" s="1"/>
  <c r="B27" i="99" s="1"/>
  <c r="I17" i="99"/>
  <c r="H17" i="99"/>
  <c r="G17" i="99"/>
  <c r="F17" i="99"/>
  <c r="E17" i="99"/>
  <c r="D17" i="99"/>
  <c r="C17" i="99"/>
  <c r="B17" i="99"/>
  <c r="E13" i="99"/>
  <c r="D13" i="99"/>
  <c r="C13" i="99"/>
  <c r="B13" i="99"/>
  <c r="C10" i="99"/>
  <c r="D10" i="99" s="1"/>
  <c r="E10" i="99" s="1"/>
  <c r="F10" i="99" s="1"/>
  <c r="G10" i="99" s="1"/>
  <c r="H10" i="99" s="1"/>
  <c r="I10" i="99" s="1"/>
  <c r="B52" i="99" l="1"/>
  <c r="B51" i="99"/>
  <c r="B50" i="99"/>
  <c r="D24" i="99"/>
  <c r="D27" i="99" s="1"/>
  <c r="B29" i="99"/>
  <c r="F29" i="99"/>
  <c r="C29" i="99"/>
  <c r="B41" i="98" l="1"/>
  <c r="I55" i="98"/>
  <c r="H55" i="98"/>
  <c r="G55" i="98"/>
  <c r="B55" i="98"/>
  <c r="I37" i="98"/>
  <c r="H37" i="98"/>
  <c r="G37" i="98"/>
  <c r="F37" i="98"/>
  <c r="E37" i="98"/>
  <c r="D37" i="98"/>
  <c r="C37" i="98"/>
  <c r="B37" i="98"/>
  <c r="I29" i="98"/>
  <c r="E29" i="98"/>
  <c r="I22" i="98"/>
  <c r="H22" i="98"/>
  <c r="H29" i="98" s="1"/>
  <c r="G22" i="98"/>
  <c r="G29" i="98" s="1"/>
  <c r="F22" i="98"/>
  <c r="F24" i="98" s="1"/>
  <c r="F27" i="98" s="1"/>
  <c r="E22" i="98"/>
  <c r="E24" i="98" s="1"/>
  <c r="E27" i="98" s="1"/>
  <c r="D22" i="98"/>
  <c r="D29" i="98" s="1"/>
  <c r="C22" i="98"/>
  <c r="C29" i="98" s="1"/>
  <c r="B22" i="98"/>
  <c r="B24" i="98" s="1"/>
  <c r="B27" i="98" s="1"/>
  <c r="I17" i="98"/>
  <c r="H17" i="98"/>
  <c r="G17" i="98"/>
  <c r="F17" i="98"/>
  <c r="E17" i="98"/>
  <c r="D17" i="98"/>
  <c r="C17" i="98"/>
  <c r="B17" i="98"/>
  <c r="E13" i="98"/>
  <c r="D13" i="98"/>
  <c r="C13" i="98"/>
  <c r="B13" i="98"/>
  <c r="C10" i="98"/>
  <c r="D10" i="98" s="1"/>
  <c r="E10" i="98" s="1"/>
  <c r="F10" i="98" s="1"/>
  <c r="G10" i="98" s="1"/>
  <c r="H10" i="98" s="1"/>
  <c r="I10" i="98" s="1"/>
  <c r="O89" i="2"/>
  <c r="I89" i="2"/>
  <c r="B53" i="98" l="1"/>
  <c r="B52" i="98"/>
  <c r="B50" i="98"/>
  <c r="B51" i="98"/>
  <c r="C24" i="98"/>
  <c r="C27" i="98" s="1"/>
  <c r="D24" i="98"/>
  <c r="D27" i="98" s="1"/>
  <c r="B29" i="98"/>
  <c r="F29" i="98"/>
  <c r="B41" i="97"/>
  <c r="I55" i="97"/>
  <c r="H55" i="97"/>
  <c r="G55" i="97"/>
  <c r="B55" i="97"/>
  <c r="I37" i="97"/>
  <c r="H37" i="97"/>
  <c r="G37" i="97"/>
  <c r="F37" i="97"/>
  <c r="E37" i="97"/>
  <c r="D37" i="97"/>
  <c r="C37" i="97"/>
  <c r="B37" i="97"/>
  <c r="B53" i="97" s="1"/>
  <c r="I29" i="97"/>
  <c r="E29" i="97"/>
  <c r="I22" i="97"/>
  <c r="H22" i="97"/>
  <c r="H29" i="97" s="1"/>
  <c r="G22" i="97"/>
  <c r="G29" i="97" s="1"/>
  <c r="F22" i="97"/>
  <c r="F24" i="97" s="1"/>
  <c r="F27" i="97" s="1"/>
  <c r="E22" i="97"/>
  <c r="E24" i="97" s="1"/>
  <c r="E27" i="97" s="1"/>
  <c r="D22" i="97"/>
  <c r="D29" i="97" s="1"/>
  <c r="C22" i="97"/>
  <c r="C29" i="97" s="1"/>
  <c r="B22" i="97"/>
  <c r="B24" i="97" s="1"/>
  <c r="B27" i="97" s="1"/>
  <c r="I17" i="97"/>
  <c r="H17" i="97"/>
  <c r="G17" i="97"/>
  <c r="F17" i="97"/>
  <c r="E17" i="97"/>
  <c r="D17" i="97"/>
  <c r="C17" i="97"/>
  <c r="B17" i="97"/>
  <c r="E13" i="97"/>
  <c r="D13" i="97"/>
  <c r="C13" i="97"/>
  <c r="B13" i="97"/>
  <c r="C10" i="97"/>
  <c r="D10" i="97" s="1"/>
  <c r="E10" i="97" s="1"/>
  <c r="F10" i="97" s="1"/>
  <c r="G10" i="97" s="1"/>
  <c r="H10" i="97" s="1"/>
  <c r="I10" i="97" s="1"/>
  <c r="I90" i="2"/>
  <c r="O90" i="2"/>
  <c r="J89" i="2"/>
  <c r="B52" i="97" l="1"/>
  <c r="B50" i="97"/>
  <c r="B51" i="97"/>
  <c r="C24" i="97"/>
  <c r="C27" i="97" s="1"/>
  <c r="D24" i="97"/>
  <c r="D27" i="97" s="1"/>
  <c r="B29" i="97"/>
  <c r="F29" i="97"/>
  <c r="D41" i="50"/>
  <c r="D37" i="50"/>
  <c r="D22" i="50"/>
  <c r="D17" i="50"/>
  <c r="D46" i="50"/>
  <c r="J99" i="2"/>
  <c r="O99" i="2"/>
  <c r="D29" i="50" l="1"/>
  <c r="B37" i="80"/>
  <c r="B29" i="80"/>
  <c r="B24" i="80"/>
  <c r="B27" i="80" s="1"/>
  <c r="B22" i="80"/>
  <c r="B17" i="80"/>
  <c r="B13" i="80"/>
  <c r="B55" i="80"/>
  <c r="B53" i="80"/>
  <c r="B52" i="80"/>
  <c r="B51" i="80"/>
  <c r="B50" i="80"/>
  <c r="B41" i="80"/>
  <c r="C99" i="2"/>
  <c r="E50" i="82" l="1"/>
  <c r="E41" i="82"/>
  <c r="E55" i="82" s="1"/>
  <c r="I99" i="2"/>
  <c r="E51" i="82" l="1"/>
  <c r="E52" i="82"/>
  <c r="E53" i="82"/>
  <c r="C41" i="5"/>
  <c r="C40" i="5"/>
  <c r="C34" i="5"/>
  <c r="C37" i="5"/>
  <c r="C22" i="5"/>
  <c r="C29" i="5" s="1"/>
  <c r="C17" i="5"/>
  <c r="C13" i="5"/>
  <c r="C55" i="5"/>
  <c r="C48" i="5"/>
  <c r="C53" i="5" s="1"/>
  <c r="C46" i="5"/>
  <c r="F89" i="2"/>
  <c r="E89" i="2"/>
  <c r="E90" i="2"/>
  <c r="C89" i="2"/>
  <c r="F90" i="2"/>
  <c r="E99" i="2"/>
  <c r="J90" i="2"/>
  <c r="C90" i="2"/>
  <c r="F99" i="2"/>
  <c r="C24" i="5" l="1"/>
  <c r="C27" i="5" s="1"/>
  <c r="C47" i="5" s="1"/>
  <c r="C50" i="5" s="1"/>
  <c r="C51" i="5"/>
  <c r="C52" i="5"/>
  <c r="D42" i="67"/>
  <c r="E42" i="67"/>
  <c r="F42" i="67"/>
  <c r="G42" i="67"/>
  <c r="D41" i="67"/>
  <c r="E41" i="67"/>
  <c r="F41" i="67"/>
  <c r="G41" i="67"/>
  <c r="E36" i="67"/>
  <c r="D36" i="67" s="1"/>
  <c r="I30" i="67"/>
  <c r="H30" i="67" s="1"/>
  <c r="I31" i="67"/>
  <c r="H31" i="67" s="1"/>
  <c r="E31" i="67"/>
  <c r="D31" i="67" s="1"/>
  <c r="E30" i="67"/>
  <c r="D30" i="67" s="1"/>
  <c r="F35" i="67"/>
  <c r="E35" i="67" s="1"/>
  <c r="F36" i="67"/>
  <c r="J36" i="67"/>
  <c r="I36" i="67" s="1"/>
  <c r="H36" i="67" s="1"/>
  <c r="J35" i="67"/>
  <c r="I35" i="67" s="1"/>
  <c r="H35" i="67" s="1"/>
  <c r="F37" i="67"/>
  <c r="F31" i="67"/>
  <c r="F30" i="67"/>
  <c r="J31" i="67"/>
  <c r="J30" i="67"/>
  <c r="K32" i="67"/>
  <c r="J32" i="67" s="1"/>
  <c r="I32" i="67" s="1"/>
  <c r="H32" i="67" s="1"/>
  <c r="G32" i="67"/>
  <c r="F32" i="67" s="1"/>
  <c r="E32" i="67" s="1"/>
  <c r="D32" i="67" s="1"/>
  <c r="G37" i="67"/>
  <c r="D17" i="67"/>
  <c r="D16" i="67"/>
  <c r="D21" i="67"/>
  <c r="H16" i="67"/>
  <c r="E17" i="67"/>
  <c r="F17" i="67"/>
  <c r="J21" i="67"/>
  <c r="H21" i="67" s="1"/>
  <c r="G17" i="67"/>
  <c r="K21" i="67"/>
  <c r="D22" i="67"/>
  <c r="E22" i="67"/>
  <c r="E29" i="67" s="1"/>
  <c r="F22" i="67"/>
  <c r="F29" i="67" s="1"/>
  <c r="G22" i="67"/>
  <c r="G29" i="67" s="1"/>
  <c r="D13" i="67"/>
  <c r="E13" i="67"/>
  <c r="F13" i="67"/>
  <c r="G13" i="67"/>
  <c r="D12" i="67"/>
  <c r="C46" i="67" s="1"/>
  <c r="H12" i="67"/>
  <c r="F46" i="67" s="1"/>
  <c r="D46" i="67"/>
  <c r="E46" i="67"/>
  <c r="G46" i="67"/>
  <c r="E37" i="67" l="1"/>
  <c r="D35" i="67"/>
  <c r="D37" i="67" s="1"/>
  <c r="C48" i="67" s="1"/>
  <c r="C53" i="67" s="1"/>
  <c r="D29" i="67"/>
  <c r="C24" i="67"/>
  <c r="C27" i="67" s="1"/>
  <c r="C47" i="67" s="1"/>
  <c r="D48" i="67"/>
  <c r="D53" i="67" s="1"/>
  <c r="D24" i="67"/>
  <c r="D27" i="67" s="1"/>
  <c r="D47" i="67" s="1"/>
  <c r="D55" i="67" s="1"/>
  <c r="C55" i="19"/>
  <c r="C51" i="19"/>
  <c r="C50" i="19"/>
  <c r="C48" i="19"/>
  <c r="C53" i="19" s="1"/>
  <c r="C47" i="19"/>
  <c r="C52" i="19" s="1"/>
  <c r="C46" i="19"/>
  <c r="C41" i="19"/>
  <c r="C37" i="19"/>
  <c r="C29" i="19"/>
  <c r="C24" i="19"/>
  <c r="C25" i="19" s="1"/>
  <c r="C26" i="19" s="1"/>
  <c r="C22" i="19"/>
  <c r="C17" i="19"/>
  <c r="C13" i="19"/>
  <c r="C55" i="67" l="1"/>
  <c r="C52" i="67"/>
  <c r="C50" i="67"/>
  <c r="C51" i="67"/>
  <c r="D52" i="67"/>
  <c r="D51" i="67"/>
  <c r="D50" i="67"/>
  <c r="C27" i="19"/>
  <c r="C42" i="3"/>
  <c r="C41" i="3"/>
  <c r="C40" i="3"/>
  <c r="D42" i="3"/>
  <c r="D41" i="3"/>
  <c r="D40" i="3"/>
  <c r="C36" i="3"/>
  <c r="C35" i="3"/>
  <c r="C32" i="3"/>
  <c r="C37" i="3"/>
  <c r="C33" i="3"/>
  <c r="C34" i="3" s="1"/>
  <c r="C31" i="3"/>
  <c r="C30" i="3"/>
  <c r="D32" i="3"/>
  <c r="D35" i="3"/>
  <c r="D36" i="3"/>
  <c r="D37" i="3"/>
  <c r="D48" i="3" s="1"/>
  <c r="D53" i="3" s="1"/>
  <c r="D33" i="3"/>
  <c r="D34" i="3" s="1"/>
  <c r="D31" i="3"/>
  <c r="D30" i="3"/>
  <c r="C19" i="3"/>
  <c r="C16" i="3" s="1"/>
  <c r="C17" i="3" s="1"/>
  <c r="C20" i="3"/>
  <c r="C21" i="3"/>
  <c r="C22" i="3"/>
  <c r="C29" i="3" s="1"/>
  <c r="D16" i="3"/>
  <c r="D17" i="3" s="1"/>
  <c r="C12" i="3"/>
  <c r="C55" i="3"/>
  <c r="C46" i="3"/>
  <c r="D55" i="3"/>
  <c r="D46" i="3"/>
  <c r="C24" i="3"/>
  <c r="C27" i="3" s="1"/>
  <c r="C47" i="3" s="1"/>
  <c r="D29" i="3"/>
  <c r="D27" i="3"/>
  <c r="D47" i="3" s="1"/>
  <c r="D24" i="3"/>
  <c r="C13" i="3"/>
  <c r="D13" i="3"/>
  <c r="C48" i="3" l="1"/>
  <c r="C53" i="3" s="1"/>
  <c r="D50" i="3"/>
  <c r="D51" i="3"/>
  <c r="C50" i="3"/>
  <c r="C51" i="3"/>
  <c r="C52" i="3"/>
  <c r="D52" i="3"/>
  <c r="C37" i="70"/>
  <c r="C29" i="70"/>
  <c r="C27" i="70" l="1"/>
  <c r="C47" i="70" s="1"/>
  <c r="C51" i="66"/>
  <c r="C48" i="66"/>
  <c r="C53" i="66" s="1"/>
  <c r="C47" i="66"/>
  <c r="C55" i="66" s="1"/>
  <c r="C46" i="66"/>
  <c r="C41" i="66"/>
  <c r="C40" i="66"/>
  <c r="C37" i="66"/>
  <c r="C27" i="66"/>
  <c r="C22" i="66"/>
  <c r="C29" i="66" s="1"/>
  <c r="C17" i="66"/>
  <c r="C13" i="66"/>
  <c r="C52" i="66" l="1"/>
  <c r="C50" i="66"/>
  <c r="C41" i="28"/>
  <c r="C37" i="28"/>
  <c r="C22" i="28"/>
  <c r="C29" i="28" s="1"/>
  <c r="C17" i="28"/>
  <c r="C13" i="28"/>
  <c r="C48" i="28"/>
  <c r="C53" i="28" s="1"/>
  <c r="C46" i="28"/>
  <c r="D46" i="43" l="1"/>
  <c r="D42" i="43"/>
  <c r="D41" i="43"/>
  <c r="D37" i="43"/>
  <c r="D29" i="43"/>
  <c r="D24" i="43"/>
  <c r="D27" i="43" s="1"/>
  <c r="D47" i="43" s="1"/>
  <c r="D55" i="43" s="1"/>
  <c r="D21" i="43"/>
  <c r="D33" i="43" s="1"/>
  <c r="D34" i="43" s="1"/>
  <c r="D17" i="43"/>
  <c r="D52" i="43" l="1"/>
  <c r="D51" i="43"/>
  <c r="D50" i="43"/>
  <c r="C42" i="76"/>
  <c r="C41" i="76"/>
  <c r="G32" i="76"/>
  <c r="C32" i="76"/>
  <c r="C37" i="76"/>
  <c r="C35" i="76"/>
  <c r="C36" i="76"/>
  <c r="G37" i="76"/>
  <c r="G36" i="76"/>
  <c r="G35" i="76"/>
  <c r="C31" i="76"/>
  <c r="G31" i="76"/>
  <c r="C30" i="76"/>
  <c r="G30" i="76"/>
  <c r="G29" i="76"/>
  <c r="C55" i="76"/>
  <c r="C51" i="76"/>
  <c r="C50" i="76"/>
  <c r="C48" i="76"/>
  <c r="C53" i="76" s="1"/>
  <c r="C47" i="76"/>
  <c r="C52" i="76" s="1"/>
  <c r="C46" i="76"/>
  <c r="C25" i="76"/>
  <c r="G22" i="76"/>
  <c r="G17" i="76"/>
  <c r="C12" i="76"/>
  <c r="G12" i="76"/>
  <c r="C22" i="76"/>
  <c r="C29" i="76" s="1"/>
  <c r="C17" i="76"/>
  <c r="C13" i="76"/>
  <c r="C24" i="76" l="1"/>
  <c r="C27" i="76" s="1"/>
  <c r="B41" i="96"/>
  <c r="B55" i="96"/>
  <c r="I55" i="96"/>
  <c r="H55" i="96"/>
  <c r="G55" i="96"/>
  <c r="I37" i="96"/>
  <c r="H37" i="96"/>
  <c r="G37" i="96"/>
  <c r="F37" i="96"/>
  <c r="E37" i="96"/>
  <c r="D37" i="96"/>
  <c r="C37" i="96"/>
  <c r="B37" i="96"/>
  <c r="B53" i="96" s="1"/>
  <c r="I22" i="96"/>
  <c r="I29" i="96" s="1"/>
  <c r="H22" i="96"/>
  <c r="H29" i="96" s="1"/>
  <c r="G22" i="96"/>
  <c r="G29" i="96" s="1"/>
  <c r="F22" i="96"/>
  <c r="F24" i="96" s="1"/>
  <c r="F27" i="96" s="1"/>
  <c r="E22" i="96"/>
  <c r="E24" i="96" s="1"/>
  <c r="E27" i="96" s="1"/>
  <c r="D22" i="96"/>
  <c r="D29" i="96" s="1"/>
  <c r="C22" i="96"/>
  <c r="C29" i="96" s="1"/>
  <c r="B22" i="96"/>
  <c r="B24" i="96" s="1"/>
  <c r="B27" i="96" s="1"/>
  <c r="I17" i="96"/>
  <c r="H17" i="96"/>
  <c r="G17" i="96"/>
  <c r="F17" i="96"/>
  <c r="E17" i="96"/>
  <c r="D17" i="96"/>
  <c r="C17" i="96"/>
  <c r="B17" i="96"/>
  <c r="E13" i="96"/>
  <c r="D13" i="96"/>
  <c r="C13" i="96"/>
  <c r="B13" i="96"/>
  <c r="C10" i="96"/>
  <c r="D10" i="96" s="1"/>
  <c r="E10" i="96" s="1"/>
  <c r="F10" i="96" s="1"/>
  <c r="G10" i="96" s="1"/>
  <c r="H10" i="96" s="1"/>
  <c r="I10" i="96" s="1"/>
  <c r="C16" i="2"/>
  <c r="B52" i="96" l="1"/>
  <c r="B51" i="96"/>
  <c r="B50" i="96"/>
  <c r="C24" i="96"/>
  <c r="C27" i="96" s="1"/>
  <c r="E29" i="96"/>
  <c r="D24" i="96"/>
  <c r="D27" i="96" s="1"/>
  <c r="B29" i="96"/>
  <c r="F29" i="96"/>
  <c r="B41" i="95"/>
  <c r="I55" i="95"/>
  <c r="H55" i="95"/>
  <c r="G55" i="95"/>
  <c r="B55" i="95"/>
  <c r="I37" i="95"/>
  <c r="H37" i="95"/>
  <c r="G37" i="95"/>
  <c r="F37" i="95"/>
  <c r="E37" i="95"/>
  <c r="D37" i="95"/>
  <c r="C37" i="95"/>
  <c r="B37" i="95"/>
  <c r="B53" i="95" s="1"/>
  <c r="F29" i="95"/>
  <c r="B29" i="95"/>
  <c r="I22" i="95"/>
  <c r="I29" i="95" s="1"/>
  <c r="H22" i="95"/>
  <c r="H29" i="95" s="1"/>
  <c r="G22" i="95"/>
  <c r="G29" i="95" s="1"/>
  <c r="F22" i="95"/>
  <c r="F24" i="95" s="1"/>
  <c r="F27" i="95" s="1"/>
  <c r="E22" i="95"/>
  <c r="E24" i="95" s="1"/>
  <c r="E27" i="95" s="1"/>
  <c r="D22" i="95"/>
  <c r="D29" i="95" s="1"/>
  <c r="C22" i="95"/>
  <c r="C29" i="95" s="1"/>
  <c r="B22" i="95"/>
  <c r="B24" i="95" s="1"/>
  <c r="B27" i="95" s="1"/>
  <c r="I17" i="95"/>
  <c r="H17" i="95"/>
  <c r="G17" i="95"/>
  <c r="F17" i="95"/>
  <c r="E17" i="95"/>
  <c r="D17" i="95"/>
  <c r="C17" i="95"/>
  <c r="B17" i="95"/>
  <c r="E13" i="95"/>
  <c r="D13" i="95"/>
  <c r="C13" i="95"/>
  <c r="B13" i="95"/>
  <c r="C10" i="95"/>
  <c r="D10" i="95" s="1"/>
  <c r="E10" i="95" s="1"/>
  <c r="F10" i="95" s="1"/>
  <c r="G10" i="95" s="1"/>
  <c r="H10" i="95" s="1"/>
  <c r="I10" i="95" s="1"/>
  <c r="O38" i="2"/>
  <c r="I38" i="2"/>
  <c r="B52" i="95" l="1"/>
  <c r="B51" i="95"/>
  <c r="B50" i="95"/>
  <c r="C24" i="95"/>
  <c r="C27" i="95" s="1"/>
  <c r="E29" i="95"/>
  <c r="D24" i="95"/>
  <c r="D27" i="95" s="1"/>
  <c r="D42" i="8"/>
  <c r="D40" i="8"/>
  <c r="D41" i="8" s="1"/>
  <c r="D22" i="8"/>
  <c r="D12" i="8"/>
  <c r="C46" i="8" s="1"/>
  <c r="O46" i="2"/>
  <c r="J46" i="2"/>
  <c r="C46" i="2"/>
  <c r="D29" i="8" l="1"/>
  <c r="D46" i="8"/>
  <c r="D17" i="8"/>
  <c r="G16" i="16"/>
  <c r="C42" i="16"/>
  <c r="C41" i="16"/>
  <c r="C40" i="16"/>
  <c r="C31" i="16"/>
  <c r="C30" i="16"/>
  <c r="C32" i="16"/>
  <c r="C37" i="16"/>
  <c r="C35" i="16"/>
  <c r="C36" i="16"/>
  <c r="C13" i="16"/>
  <c r="C12" i="16"/>
  <c r="C48" i="16"/>
  <c r="C53" i="16" s="1"/>
  <c r="C46" i="16"/>
  <c r="C38" i="2"/>
  <c r="D16" i="23" l="1"/>
  <c r="D22" i="23"/>
  <c r="D12" i="23"/>
  <c r="C46" i="23" s="1"/>
  <c r="D42" i="23"/>
  <c r="D41" i="23"/>
  <c r="D17" i="23"/>
  <c r="D46" i="23"/>
  <c r="J38" i="2"/>
  <c r="F46" i="2"/>
  <c r="D29" i="23" l="1"/>
  <c r="D46" i="69"/>
  <c r="E46" i="69"/>
  <c r="D41" i="69"/>
  <c r="E41" i="69"/>
  <c r="D37" i="69"/>
  <c r="E37" i="69"/>
  <c r="D22" i="69"/>
  <c r="D17" i="69"/>
  <c r="E22" i="69"/>
  <c r="E29" i="69" s="1"/>
  <c r="E17" i="69"/>
  <c r="D13" i="69"/>
  <c r="E13" i="69"/>
  <c r="I46" i="2"/>
  <c r="D29" i="69" l="1"/>
  <c r="D42" i="76"/>
  <c r="D41" i="76"/>
  <c r="H22" i="76"/>
  <c r="H29" i="76" s="1"/>
  <c r="H17" i="76"/>
  <c r="D22" i="76"/>
  <c r="D29" i="76" s="1"/>
  <c r="D17" i="76"/>
  <c r="D13" i="76"/>
  <c r="E46" i="2"/>
  <c r="F38" i="2"/>
  <c r="E38" i="2"/>
  <c r="D50" i="27" l="1"/>
  <c r="D41" i="27"/>
  <c r="D52" i="27" s="1"/>
  <c r="D53" i="27" l="1"/>
  <c r="D51" i="27"/>
  <c r="D55" i="27"/>
  <c r="C41" i="94"/>
  <c r="C55" i="94" s="1"/>
  <c r="J55" i="94"/>
  <c r="I55" i="94"/>
  <c r="J37" i="94"/>
  <c r="I37" i="94"/>
  <c r="H37" i="94"/>
  <c r="G37" i="94"/>
  <c r="F37" i="94"/>
  <c r="E37" i="94"/>
  <c r="D37" i="94"/>
  <c r="C37" i="94"/>
  <c r="F29" i="94"/>
  <c r="J22" i="94"/>
  <c r="J29" i="94" s="1"/>
  <c r="I22" i="94"/>
  <c r="I29" i="94" s="1"/>
  <c r="H22" i="94"/>
  <c r="H29" i="94" s="1"/>
  <c r="G22" i="94"/>
  <c r="G29" i="94" s="1"/>
  <c r="F22" i="94"/>
  <c r="E22" i="94"/>
  <c r="E29" i="94" s="1"/>
  <c r="D22" i="94"/>
  <c r="D29" i="94" s="1"/>
  <c r="C22" i="94"/>
  <c r="B24" i="94" s="1"/>
  <c r="B27" i="94" s="1"/>
  <c r="J17" i="94"/>
  <c r="I17" i="94"/>
  <c r="H17" i="94"/>
  <c r="G17" i="94"/>
  <c r="F17" i="94"/>
  <c r="E17" i="94"/>
  <c r="D17" i="94"/>
  <c r="C17" i="94"/>
  <c r="F13" i="94"/>
  <c r="E13" i="94"/>
  <c r="D13" i="94"/>
  <c r="C13" i="94"/>
  <c r="D10" i="94"/>
  <c r="E10" i="94" s="1"/>
  <c r="F10" i="94" s="1"/>
  <c r="G10" i="94" s="1"/>
  <c r="H10" i="94" s="1"/>
  <c r="I10" i="94" s="1"/>
  <c r="J10" i="94" s="1"/>
  <c r="F24" i="94" l="1"/>
  <c r="F27" i="94" s="1"/>
  <c r="C24" i="94"/>
  <c r="C27" i="94" s="1"/>
  <c r="G24" i="94"/>
  <c r="G27" i="94" s="1"/>
  <c r="C29" i="94"/>
  <c r="C53" i="94"/>
  <c r="C52" i="94"/>
  <c r="C51" i="94"/>
  <c r="C50" i="94"/>
  <c r="D24" i="94"/>
  <c r="D27" i="94" s="1"/>
  <c r="E24" i="94"/>
  <c r="E27" i="94" s="1"/>
  <c r="C41" i="93"/>
  <c r="C55" i="93" s="1"/>
  <c r="J55" i="93"/>
  <c r="J37" i="93"/>
  <c r="I37" i="93"/>
  <c r="H37" i="93"/>
  <c r="G37" i="93"/>
  <c r="F37" i="93"/>
  <c r="E37" i="93"/>
  <c r="D37" i="93"/>
  <c r="C37" i="93"/>
  <c r="J22" i="93"/>
  <c r="J29" i="93" s="1"/>
  <c r="I22" i="93"/>
  <c r="I29" i="93" s="1"/>
  <c r="H22" i="93"/>
  <c r="H29" i="93" s="1"/>
  <c r="G22" i="93"/>
  <c r="F22" i="93"/>
  <c r="E22" i="93"/>
  <c r="E29" i="93" s="1"/>
  <c r="D22" i="93"/>
  <c r="C22" i="93"/>
  <c r="J17" i="93"/>
  <c r="I17" i="93"/>
  <c r="H17" i="93"/>
  <c r="G17" i="93"/>
  <c r="F17" i="93"/>
  <c r="E17" i="93"/>
  <c r="D17" i="93"/>
  <c r="C17" i="93"/>
  <c r="F13" i="93"/>
  <c r="E13" i="93"/>
  <c r="D13" i="93"/>
  <c r="C13" i="93"/>
  <c r="D10" i="93"/>
  <c r="E10" i="93" s="1"/>
  <c r="F10" i="93" s="1"/>
  <c r="G10" i="93" s="1"/>
  <c r="H10" i="93" s="1"/>
  <c r="I10" i="93" s="1"/>
  <c r="J10" i="93" s="1"/>
  <c r="I56" i="2"/>
  <c r="O56" i="2"/>
  <c r="B24" i="93" l="1"/>
  <c r="B27" i="93" s="1"/>
  <c r="F29" i="93"/>
  <c r="C53" i="93"/>
  <c r="C52" i="93"/>
  <c r="C51" i="93"/>
  <c r="C50" i="93"/>
  <c r="C29" i="93"/>
  <c r="G29" i="93"/>
  <c r="D29" i="93"/>
  <c r="B41" i="92"/>
  <c r="I55" i="92"/>
  <c r="H55" i="92"/>
  <c r="B55" i="92"/>
  <c r="I37" i="92"/>
  <c r="H37" i="92"/>
  <c r="G37" i="92"/>
  <c r="F37" i="92"/>
  <c r="E37" i="92"/>
  <c r="D37" i="92"/>
  <c r="C37" i="92"/>
  <c r="B37" i="92"/>
  <c r="B53" i="92" s="1"/>
  <c r="E29" i="92"/>
  <c r="I22" i="92"/>
  <c r="I29" i="92" s="1"/>
  <c r="H22" i="92"/>
  <c r="H29" i="92" s="1"/>
  <c r="G22" i="92"/>
  <c r="G29" i="92" s="1"/>
  <c r="F22" i="92"/>
  <c r="F24" i="92" s="1"/>
  <c r="F27" i="92" s="1"/>
  <c r="E22" i="92"/>
  <c r="D22" i="92"/>
  <c r="D29" i="92" s="1"/>
  <c r="C22" i="92"/>
  <c r="B22" i="92"/>
  <c r="B24" i="92" s="1"/>
  <c r="B27" i="92" s="1"/>
  <c r="I17" i="92"/>
  <c r="H17" i="92"/>
  <c r="G17" i="92"/>
  <c r="F17" i="92"/>
  <c r="E17" i="92"/>
  <c r="D17" i="92"/>
  <c r="C17" i="92"/>
  <c r="B17" i="92"/>
  <c r="E13" i="92"/>
  <c r="D13" i="92"/>
  <c r="C13" i="92"/>
  <c r="B13" i="92"/>
  <c r="C10" i="92"/>
  <c r="D10" i="92" s="1"/>
  <c r="E10" i="92" s="1"/>
  <c r="F10" i="92" s="1"/>
  <c r="G10" i="92" s="1"/>
  <c r="H10" i="92" s="1"/>
  <c r="I10" i="92" s="1"/>
  <c r="O65" i="2"/>
  <c r="I65" i="2"/>
  <c r="J56" i="2"/>
  <c r="C24" i="92" l="1"/>
  <c r="C27" i="92" s="1"/>
  <c r="B29" i="92"/>
  <c r="F29" i="92"/>
  <c r="E24" i="92"/>
  <c r="E27" i="92" s="1"/>
  <c r="B52" i="92"/>
  <c r="B51" i="92"/>
  <c r="B50" i="92"/>
  <c r="D24" i="92"/>
  <c r="D27" i="92" s="1"/>
  <c r="C29" i="92"/>
  <c r="K55" i="91"/>
  <c r="J55" i="91"/>
  <c r="I55" i="91"/>
  <c r="D55" i="91"/>
  <c r="G37" i="91"/>
  <c r="C48" i="91" s="1"/>
  <c r="C53" i="91" s="1"/>
  <c r="D53" i="91"/>
  <c r="G22" i="91"/>
  <c r="G17" i="91"/>
  <c r="E10" i="91"/>
  <c r="F10" i="91" s="1"/>
  <c r="G10" i="91" s="1"/>
  <c r="H10" i="91" s="1"/>
  <c r="I10" i="91" s="1"/>
  <c r="J10" i="91" s="1"/>
  <c r="K10" i="91" s="1"/>
  <c r="C56" i="2"/>
  <c r="O77" i="2"/>
  <c r="I77" i="2"/>
  <c r="G29" i="91" l="1"/>
  <c r="D51" i="91"/>
  <c r="D50" i="91"/>
  <c r="D52" i="91"/>
  <c r="B41" i="90"/>
  <c r="B55" i="90" s="1"/>
  <c r="I55" i="90"/>
  <c r="H55" i="90"/>
  <c r="I37" i="90"/>
  <c r="H37" i="90"/>
  <c r="G37" i="90"/>
  <c r="F37" i="90"/>
  <c r="E37" i="90"/>
  <c r="D37" i="90"/>
  <c r="C37" i="90"/>
  <c r="B37" i="90"/>
  <c r="I22" i="90"/>
  <c r="I29" i="90" s="1"/>
  <c r="H22" i="90"/>
  <c r="H29" i="90" s="1"/>
  <c r="G22" i="90"/>
  <c r="G29" i="90" s="1"/>
  <c r="F22" i="90"/>
  <c r="E22" i="90"/>
  <c r="E24" i="90" s="1"/>
  <c r="E27" i="90" s="1"/>
  <c r="D22" i="90"/>
  <c r="D29" i="90" s="1"/>
  <c r="C22" i="90"/>
  <c r="C29" i="90" s="1"/>
  <c r="B22" i="90"/>
  <c r="I17" i="90"/>
  <c r="H17" i="90"/>
  <c r="G17" i="90"/>
  <c r="F17" i="90"/>
  <c r="E17" i="90"/>
  <c r="D17" i="90"/>
  <c r="C17" i="90"/>
  <c r="B17" i="90"/>
  <c r="E13" i="90"/>
  <c r="D13" i="90"/>
  <c r="C13" i="90"/>
  <c r="B13" i="90"/>
  <c r="C10" i="90"/>
  <c r="D10" i="90" s="1"/>
  <c r="E10" i="90" s="1"/>
  <c r="F10" i="90" s="1"/>
  <c r="G10" i="90" s="1"/>
  <c r="H10" i="90" s="1"/>
  <c r="I10" i="90" s="1"/>
  <c r="O82" i="2"/>
  <c r="O81" i="2"/>
  <c r="I81" i="2"/>
  <c r="I82" i="2"/>
  <c r="J77" i="2"/>
  <c r="B24" i="90" l="1"/>
  <c r="B27" i="90" s="1"/>
  <c r="B53" i="90"/>
  <c r="E29" i="90"/>
  <c r="F24" i="90"/>
  <c r="F27" i="90" s="1"/>
  <c r="B29" i="90"/>
  <c r="F29" i="90"/>
  <c r="B52" i="90"/>
  <c r="B51" i="90"/>
  <c r="B50" i="90"/>
  <c r="C24" i="90"/>
  <c r="C27" i="90" s="1"/>
  <c r="D24" i="90"/>
  <c r="D27" i="90" s="1"/>
  <c r="C41" i="89"/>
  <c r="C55" i="89" s="1"/>
  <c r="J55" i="89"/>
  <c r="I55" i="89"/>
  <c r="F22" i="89"/>
  <c r="F17" i="89"/>
  <c r="D10" i="89"/>
  <c r="E10" i="89" s="1"/>
  <c r="F10" i="89" s="1"/>
  <c r="G10" i="89" s="1"/>
  <c r="H10" i="89" s="1"/>
  <c r="I10" i="89" s="1"/>
  <c r="J10" i="89" s="1"/>
  <c r="C65" i="2"/>
  <c r="C77" i="2"/>
  <c r="C53" i="89" l="1"/>
  <c r="C52" i="89"/>
  <c r="C51" i="89"/>
  <c r="C50" i="89"/>
  <c r="F29" i="89"/>
  <c r="E42" i="73"/>
  <c r="E40" i="73"/>
  <c r="E39" i="73"/>
  <c r="E41" i="73" s="1"/>
  <c r="G24" i="73"/>
  <c r="I16" i="73"/>
  <c r="E12" i="73"/>
  <c r="E13" i="73" s="1"/>
  <c r="I12" i="73"/>
  <c r="F77" i="2"/>
  <c r="E56" i="2"/>
  <c r="I103" i="2"/>
  <c r="E77" i="2"/>
  <c r="O103" i="2"/>
  <c r="B41" i="88" l="1"/>
  <c r="I55" i="88"/>
  <c r="H55" i="88"/>
  <c r="G55" i="88"/>
  <c r="B55" i="88"/>
  <c r="I37" i="88"/>
  <c r="H37" i="88"/>
  <c r="G37" i="88"/>
  <c r="F37" i="88"/>
  <c r="E37" i="88"/>
  <c r="D37" i="88"/>
  <c r="C37" i="88"/>
  <c r="B37" i="88"/>
  <c r="B53" i="88" s="1"/>
  <c r="I22" i="88"/>
  <c r="I29" i="88" s="1"/>
  <c r="H22" i="88"/>
  <c r="H29" i="88" s="1"/>
  <c r="G22" i="88"/>
  <c r="G29" i="88" s="1"/>
  <c r="F22" i="88"/>
  <c r="E22" i="88"/>
  <c r="E24" i="88" s="1"/>
  <c r="E27" i="88" s="1"/>
  <c r="D22" i="88"/>
  <c r="D29" i="88" s="1"/>
  <c r="C22" i="88"/>
  <c r="C29" i="88" s="1"/>
  <c r="B22" i="88"/>
  <c r="I17" i="88"/>
  <c r="H17" i="88"/>
  <c r="G17" i="88"/>
  <c r="F17" i="88"/>
  <c r="E17" i="88"/>
  <c r="D17" i="88"/>
  <c r="C17" i="88"/>
  <c r="B17" i="88"/>
  <c r="E13" i="88"/>
  <c r="D13" i="88"/>
  <c r="C13" i="88"/>
  <c r="B13" i="88"/>
  <c r="C10" i="88"/>
  <c r="D10" i="88" s="1"/>
  <c r="E10" i="88" s="1"/>
  <c r="F10" i="88" s="1"/>
  <c r="G10" i="88" s="1"/>
  <c r="H10" i="88" s="1"/>
  <c r="I10" i="88" s="1"/>
  <c r="O110" i="2"/>
  <c r="C103" i="2"/>
  <c r="F65" i="2"/>
  <c r="O96" i="2"/>
  <c r="E65" i="2"/>
  <c r="J65" i="2"/>
  <c r="B24" i="88" l="1"/>
  <c r="B27" i="88" s="1"/>
  <c r="F24" i="88"/>
  <c r="F27" i="88" s="1"/>
  <c r="E29" i="88"/>
  <c r="B52" i="88"/>
  <c r="B51" i="88"/>
  <c r="B50" i="88"/>
  <c r="C24" i="88"/>
  <c r="C27" i="88" s="1"/>
  <c r="D24" i="88"/>
  <c r="D27" i="88" s="1"/>
  <c r="B29" i="88"/>
  <c r="F29" i="88"/>
  <c r="F10" i="87"/>
  <c r="G10" i="87" s="1"/>
  <c r="I96" i="2"/>
  <c r="D41" i="86" l="1"/>
  <c r="K55" i="86"/>
  <c r="J55" i="86"/>
  <c r="K37" i="86"/>
  <c r="J37" i="86"/>
  <c r="I37" i="86"/>
  <c r="H37" i="86"/>
  <c r="G37" i="86"/>
  <c r="F37" i="86"/>
  <c r="E37" i="86"/>
  <c r="D37" i="86"/>
  <c r="K22" i="86"/>
  <c r="K29" i="86" s="1"/>
  <c r="J22" i="86"/>
  <c r="J29" i="86" s="1"/>
  <c r="I22" i="86"/>
  <c r="I29" i="86" s="1"/>
  <c r="H22" i="86"/>
  <c r="G22" i="86"/>
  <c r="F22" i="86"/>
  <c r="F29" i="86" s="1"/>
  <c r="E22" i="86"/>
  <c r="E29" i="86" s="1"/>
  <c r="D22" i="86"/>
  <c r="K17" i="86"/>
  <c r="J17" i="86"/>
  <c r="I17" i="86"/>
  <c r="H17" i="86"/>
  <c r="G17" i="86"/>
  <c r="F17" i="86"/>
  <c r="E17" i="86"/>
  <c r="D17" i="86"/>
  <c r="G13" i="86"/>
  <c r="F13" i="86"/>
  <c r="E13" i="86"/>
  <c r="D13" i="86"/>
  <c r="E10" i="86"/>
  <c r="F10" i="86" s="1"/>
  <c r="G10" i="86" s="1"/>
  <c r="H10" i="86" s="1"/>
  <c r="I10" i="86" s="1"/>
  <c r="J10" i="86" s="1"/>
  <c r="K10" i="86" s="1"/>
  <c r="J82" i="2"/>
  <c r="F56" i="2"/>
  <c r="O54" i="2"/>
  <c r="I54" i="2"/>
  <c r="J54" i="2"/>
  <c r="E81" i="2"/>
  <c r="D53" i="86" l="1"/>
  <c r="D48" i="86"/>
  <c r="C48" i="86"/>
  <c r="C53" i="86" s="1"/>
  <c r="C24" i="86"/>
  <c r="D24" i="86"/>
  <c r="D27" i="86" s="1"/>
  <c r="D47" i="86" s="1"/>
  <c r="D50" i="86" s="1"/>
  <c r="D51" i="86"/>
  <c r="G29" i="86"/>
  <c r="D29" i="86"/>
  <c r="H29" i="86"/>
  <c r="D17" i="85"/>
  <c r="E17" i="85"/>
  <c r="F17" i="85"/>
  <c r="G17" i="85"/>
  <c r="H17" i="85"/>
  <c r="I17" i="85"/>
  <c r="J17" i="85"/>
  <c r="D41" i="85"/>
  <c r="D55" i="85" s="1"/>
  <c r="K55" i="85"/>
  <c r="J55" i="85"/>
  <c r="F37" i="85"/>
  <c r="E37" i="85"/>
  <c r="D37" i="85"/>
  <c r="K22" i="85"/>
  <c r="J22" i="85"/>
  <c r="I22" i="85"/>
  <c r="H22" i="85"/>
  <c r="G22" i="85"/>
  <c r="F22" i="85"/>
  <c r="F29" i="85" s="1"/>
  <c r="E22" i="85"/>
  <c r="E29" i="85" s="1"/>
  <c r="D22" i="85"/>
  <c r="D29" i="85" s="1"/>
  <c r="K17" i="85"/>
  <c r="F13" i="85"/>
  <c r="E13" i="85"/>
  <c r="D13" i="85"/>
  <c r="E10" i="85"/>
  <c r="F10" i="85" s="1"/>
  <c r="G10" i="85" s="1"/>
  <c r="H10" i="85" s="1"/>
  <c r="I10" i="85" s="1"/>
  <c r="J10" i="85" s="1"/>
  <c r="K10" i="85" s="1"/>
  <c r="I33" i="2"/>
  <c r="C81" i="2"/>
  <c r="O33" i="2"/>
  <c r="I110" i="2"/>
  <c r="D52" i="86" l="1"/>
  <c r="C27" i="86"/>
  <c r="C47" i="86" s="1"/>
  <c r="C25" i="86"/>
  <c r="D55" i="86"/>
  <c r="D53" i="85"/>
  <c r="D52" i="85"/>
  <c r="D51" i="85"/>
  <c r="D50" i="85"/>
  <c r="J81" i="2"/>
  <c r="F81" i="2"/>
  <c r="F82" i="2"/>
  <c r="J103" i="2"/>
  <c r="C52" i="86" l="1"/>
  <c r="C50" i="86"/>
  <c r="C55" i="86"/>
  <c r="C51" i="86"/>
  <c r="D40" i="72"/>
  <c r="D41" i="72" s="1"/>
  <c r="D46" i="72"/>
  <c r="D13" i="72"/>
  <c r="D22" i="72"/>
  <c r="D29" i="72" s="1"/>
  <c r="D17" i="72"/>
  <c r="F96" i="2"/>
  <c r="J33" i="2"/>
  <c r="J116" i="2"/>
  <c r="C40" i="34" l="1"/>
  <c r="C39" i="34"/>
  <c r="C41" i="34" s="1"/>
  <c r="C22" i="34"/>
  <c r="C29" i="34" s="1"/>
  <c r="C17" i="34"/>
  <c r="C13" i="34"/>
  <c r="C55" i="34"/>
  <c r="E33" i="2"/>
  <c r="J110" i="2"/>
  <c r="C110" i="2"/>
  <c r="C96" i="2"/>
  <c r="F33" i="2"/>
  <c r="F54" i="2"/>
  <c r="E103" i="2"/>
  <c r="C82" i="2"/>
  <c r="C54" i="2"/>
  <c r="C33" i="2"/>
  <c r="E41" i="13" l="1"/>
  <c r="E33" i="13"/>
  <c r="E37" i="13"/>
  <c r="E29" i="13"/>
  <c r="E24" i="13"/>
  <c r="E25" i="13" s="1"/>
  <c r="E16" i="13"/>
  <c r="E17" i="13" s="1"/>
  <c r="E13" i="13"/>
  <c r="E55" i="13"/>
  <c r="E47" i="13"/>
  <c r="E52" i="13" s="1"/>
  <c r="E110" i="2"/>
  <c r="J96" i="2"/>
  <c r="E96" i="2"/>
  <c r="F103" i="2"/>
  <c r="E54" i="2"/>
  <c r="E82" i="2"/>
  <c r="E34" i="13" l="1"/>
  <c r="E50" i="13"/>
  <c r="E51" i="13"/>
  <c r="E40" i="45"/>
  <c r="E41" i="45" s="1"/>
  <c r="E37" i="45"/>
  <c r="E17" i="45"/>
  <c r="E13" i="45"/>
  <c r="E46" i="45"/>
  <c r="E29" i="45" l="1"/>
  <c r="D41" i="21"/>
  <c r="D37" i="21"/>
  <c r="C48" i="21" s="1"/>
  <c r="C53" i="21" s="1"/>
  <c r="D29" i="21"/>
  <c r="D17" i="21"/>
  <c r="D21" i="21"/>
  <c r="D13" i="21"/>
  <c r="D41" i="63" l="1"/>
  <c r="D37" i="63"/>
  <c r="D29" i="63"/>
  <c r="D27" i="63"/>
  <c r="D47" i="63" s="1"/>
  <c r="D52" i="63" s="1"/>
  <c r="D22" i="63"/>
  <c r="D17" i="63"/>
  <c r="F46" i="63"/>
  <c r="D53" i="63"/>
  <c r="D55" i="63" l="1"/>
  <c r="D50" i="63"/>
  <c r="D51" i="63"/>
  <c r="E42" i="44"/>
  <c r="E39" i="44"/>
  <c r="E22" i="44"/>
  <c r="E17" i="44"/>
  <c r="E13" i="44"/>
  <c r="E29" i="44" l="1"/>
  <c r="D40" i="38"/>
  <c r="D41" i="38" s="1"/>
  <c r="D37" i="38"/>
  <c r="D22" i="38"/>
  <c r="D29" i="38" s="1"/>
  <c r="D17" i="38"/>
  <c r="D13" i="38"/>
  <c r="D46" i="38" l="1"/>
  <c r="E40" i="62" l="1"/>
  <c r="E41" i="62"/>
  <c r="E27" i="62"/>
  <c r="E47" i="62" s="1"/>
  <c r="E55" i="62" l="1"/>
  <c r="E50" i="62"/>
  <c r="E51" i="62"/>
  <c r="E52" i="62"/>
  <c r="D41" i="74"/>
  <c r="H33" i="74"/>
  <c r="H37" i="74"/>
  <c r="G37" i="74"/>
  <c r="G33" i="74"/>
  <c r="D37" i="74"/>
  <c r="D33" i="74"/>
  <c r="H29" i="74"/>
  <c r="G29" i="74"/>
  <c r="D29" i="74"/>
  <c r="D13" i="74"/>
  <c r="D34" i="74" l="1"/>
  <c r="H34" i="74"/>
  <c r="G34" i="74"/>
  <c r="E40" i="11"/>
  <c r="E41" i="11" s="1"/>
  <c r="D46" i="39" l="1"/>
  <c r="D40" i="39"/>
  <c r="D41" i="39" s="1"/>
  <c r="D37" i="39"/>
  <c r="D33" i="39"/>
  <c r="D22" i="39"/>
  <c r="D29" i="39" s="1"/>
  <c r="D17" i="39"/>
  <c r="B36" i="24" l="1"/>
  <c r="B35" i="24"/>
  <c r="B40" i="24"/>
  <c r="B39" i="24"/>
  <c r="B41" i="24" s="1"/>
  <c r="B32" i="24"/>
  <c r="B37" i="24"/>
  <c r="B29" i="24"/>
  <c r="B22" i="24"/>
  <c r="B17" i="24"/>
  <c r="B13" i="24"/>
  <c r="E46" i="49" l="1"/>
  <c r="E41" i="49"/>
  <c r="E33" i="49"/>
  <c r="E37" i="49"/>
  <c r="E22" i="49"/>
  <c r="E17" i="49"/>
  <c r="E13" i="49"/>
  <c r="E29" i="49" l="1"/>
  <c r="E34" i="49" s="1"/>
  <c r="D41" i="77"/>
  <c r="B40" i="36" l="1"/>
  <c r="B16" i="36"/>
  <c r="B17" i="36" s="1"/>
  <c r="B21" i="36"/>
  <c r="B33" i="36" s="1"/>
  <c r="F21" i="36"/>
  <c r="B41" i="36"/>
  <c r="B13" i="36"/>
  <c r="B22" i="36" l="1"/>
  <c r="B29" i="36" s="1"/>
  <c r="E46" i="61"/>
  <c r="F46" i="61"/>
  <c r="E41" i="61"/>
  <c r="F41" i="61"/>
  <c r="E37" i="61"/>
  <c r="F37" i="61"/>
  <c r="E22" i="61"/>
  <c r="E17" i="61"/>
  <c r="F22" i="61"/>
  <c r="F17" i="61"/>
  <c r="F13" i="61"/>
  <c r="E13" i="61"/>
  <c r="G13" i="61"/>
  <c r="C48" i="61" l="1"/>
  <c r="C53" i="61" s="1"/>
  <c r="C24" i="61"/>
  <c r="E29" i="61"/>
  <c r="F29" i="61"/>
  <c r="E32" i="30"/>
  <c r="D32" i="30" s="1"/>
  <c r="E35" i="30"/>
  <c r="E36" i="30"/>
  <c r="D36" i="30" s="1"/>
  <c r="E13" i="30"/>
  <c r="E22" i="30"/>
  <c r="E17" i="30"/>
  <c r="E46" i="30"/>
  <c r="E40" i="30"/>
  <c r="E41" i="30" s="1"/>
  <c r="C25" i="61" l="1"/>
  <c r="C27" i="61"/>
  <c r="C47" i="61" s="1"/>
  <c r="E37" i="30"/>
  <c r="D35" i="30"/>
  <c r="D37" i="30" s="1"/>
  <c r="E29" i="30"/>
  <c r="D42" i="16"/>
  <c r="D41" i="16"/>
  <c r="D40" i="16"/>
  <c r="D13" i="16"/>
  <c r="C50" i="61" l="1"/>
  <c r="C55" i="61"/>
  <c r="C52" i="61"/>
  <c r="C51" i="61"/>
  <c r="E42" i="8"/>
  <c r="E40" i="8"/>
  <c r="E41" i="8" s="1"/>
  <c r="E22" i="8"/>
  <c r="E17" i="8"/>
  <c r="E13" i="8"/>
  <c r="E29" i="8" l="1"/>
  <c r="E42" i="23"/>
  <c r="E41" i="23"/>
  <c r="E22" i="23"/>
  <c r="E17" i="23"/>
  <c r="E13" i="23"/>
  <c r="E29" i="23" l="1"/>
  <c r="D46" i="15"/>
  <c r="C22" i="15"/>
  <c r="D40" i="15"/>
  <c r="D31" i="15"/>
  <c r="D30" i="15"/>
  <c r="D35" i="15"/>
  <c r="D37" i="15" s="1"/>
  <c r="D36" i="15"/>
  <c r="D29" i="15"/>
  <c r="D12" i="15"/>
  <c r="D13" i="15" s="1"/>
  <c r="C32" i="15"/>
  <c r="G32" i="15"/>
  <c r="C29" i="15"/>
  <c r="C37" i="15"/>
  <c r="C41" i="15"/>
  <c r="C13" i="15"/>
  <c r="D41" i="15"/>
  <c r="E42" i="68" l="1"/>
  <c r="E40" i="68"/>
  <c r="E41" i="68"/>
  <c r="E22" i="68"/>
  <c r="E17" i="68"/>
  <c r="E13" i="68"/>
  <c r="E29" i="68" l="1"/>
  <c r="E41" i="20"/>
  <c r="E37" i="20"/>
  <c r="E22" i="20"/>
  <c r="E29" i="20" s="1"/>
  <c r="E17" i="20"/>
  <c r="E13" i="20"/>
  <c r="E46" i="20"/>
  <c r="E46" i="25" l="1"/>
  <c r="E40" i="25"/>
  <c r="E41" i="25" s="1"/>
  <c r="E37" i="25"/>
  <c r="E22" i="25"/>
  <c r="E17" i="25"/>
  <c r="E13" i="25"/>
  <c r="E29" i="25" l="1"/>
  <c r="E42" i="43"/>
  <c r="E41" i="43"/>
  <c r="E37" i="43"/>
  <c r="E29" i="43"/>
  <c r="E21" i="43"/>
  <c r="E33" i="43" s="1"/>
  <c r="E34" i="43" s="1"/>
  <c r="E17" i="43"/>
  <c r="E13" i="43"/>
  <c r="E40" i="12" l="1"/>
  <c r="E41" i="12" s="1"/>
  <c r="I37" i="12"/>
  <c r="E37" i="12"/>
  <c r="E27" i="12"/>
  <c r="E47" i="12" s="1"/>
  <c r="E22" i="12"/>
  <c r="E17" i="12"/>
  <c r="I22" i="12"/>
  <c r="I29" i="12" s="1"/>
  <c r="I17" i="12"/>
  <c r="I13" i="12"/>
  <c r="E13" i="12"/>
  <c r="E29" i="12" l="1"/>
  <c r="E41" i="47"/>
  <c r="E37" i="47"/>
  <c r="E29" i="47"/>
  <c r="E24" i="47"/>
  <c r="E21" i="47"/>
  <c r="E33" i="47" s="1"/>
  <c r="E17" i="47"/>
  <c r="E13" i="47"/>
  <c r="E34" i="47" l="1"/>
  <c r="E25" i="47"/>
  <c r="E27" i="47" s="1"/>
  <c r="E47" i="47" s="1"/>
  <c r="B46" i="64"/>
  <c r="B41" i="64"/>
  <c r="B33" i="64"/>
  <c r="B34" i="64" s="1"/>
  <c r="B37" i="64"/>
  <c r="B25" i="64"/>
  <c r="B29" i="64"/>
  <c r="B27" i="64"/>
  <c r="B47" i="64" s="1"/>
  <c r="B55" i="64" s="1"/>
  <c r="B24" i="64"/>
  <c r="B21" i="64"/>
  <c r="B17" i="64"/>
  <c r="B13" i="64"/>
  <c r="E55" i="47" l="1"/>
  <c r="E52" i="47"/>
  <c r="E51" i="47"/>
  <c r="E50" i="47"/>
  <c r="B52" i="64"/>
  <c r="B51" i="64"/>
  <c r="B50" i="64"/>
  <c r="E46" i="41"/>
  <c r="E41" i="41"/>
  <c r="E37" i="41"/>
  <c r="E22" i="41"/>
  <c r="E17" i="41"/>
  <c r="E13" i="41"/>
  <c r="E29" i="41" l="1"/>
  <c r="E34" i="41" s="1"/>
  <c r="D55" i="40"/>
  <c r="D46" i="40"/>
  <c r="D41" i="40"/>
  <c r="D37" i="40"/>
  <c r="D22" i="40"/>
  <c r="D17" i="40"/>
  <c r="D13" i="40"/>
  <c r="D29" i="40" l="1"/>
  <c r="D34" i="40" s="1"/>
  <c r="E41" i="37"/>
  <c r="E37" i="37"/>
  <c r="E29" i="37"/>
  <c r="E22" i="37"/>
  <c r="E17" i="37"/>
  <c r="E13" i="37"/>
  <c r="H37" i="71" l="1"/>
  <c r="G37" i="71"/>
  <c r="F37" i="71"/>
  <c r="E37" i="71"/>
  <c r="D37" i="71"/>
  <c r="B37" i="71"/>
  <c r="B41" i="71"/>
  <c r="E22" i="71"/>
  <c r="E29" i="71" s="1"/>
  <c r="E17" i="71"/>
  <c r="F22" i="71"/>
  <c r="F17" i="71"/>
  <c r="B22" i="71"/>
  <c r="B29" i="71" s="1"/>
  <c r="B17" i="71"/>
  <c r="B13" i="71"/>
  <c r="F29" i="71" l="1"/>
  <c r="E41" i="50"/>
  <c r="E37" i="50"/>
  <c r="E22" i="50"/>
  <c r="E17" i="50"/>
  <c r="E13" i="50"/>
  <c r="E29" i="50" l="1"/>
  <c r="E46" i="6"/>
  <c r="E41" i="6"/>
  <c r="E37" i="6"/>
  <c r="E22" i="6"/>
  <c r="E17" i="6"/>
  <c r="E13" i="6"/>
  <c r="E29" i="6" l="1"/>
  <c r="F46" i="79"/>
  <c r="E46" i="79"/>
  <c r="E41" i="79"/>
  <c r="E37" i="79"/>
  <c r="E22" i="79"/>
  <c r="E17" i="79"/>
  <c r="E13" i="79"/>
  <c r="E29" i="79" l="1"/>
  <c r="E40" i="54"/>
  <c r="E41" i="54" s="1"/>
  <c r="E33" i="54"/>
  <c r="E37" i="54"/>
  <c r="E27" i="54"/>
  <c r="E47" i="54" s="1"/>
  <c r="E22" i="54"/>
  <c r="E29" i="54" s="1"/>
  <c r="E34" i="54" s="1"/>
  <c r="E17" i="54"/>
  <c r="E13" i="54"/>
  <c r="E51" i="54" l="1"/>
  <c r="E52" i="54"/>
  <c r="E50" i="54"/>
  <c r="E41" i="75"/>
  <c r="E37" i="75"/>
  <c r="E22" i="75"/>
  <c r="E17" i="75"/>
  <c r="E13" i="75"/>
  <c r="E29" i="75" l="1"/>
  <c r="E55" i="29"/>
  <c r="E46" i="29"/>
  <c r="E41" i="29"/>
  <c r="E37" i="29"/>
  <c r="E22" i="29"/>
  <c r="E17" i="29"/>
  <c r="E13" i="29"/>
  <c r="E29" i="29" l="1"/>
  <c r="F55" i="81"/>
  <c r="F50" i="81"/>
  <c r="E55" i="81"/>
  <c r="E50" i="81"/>
  <c r="E41" i="81"/>
  <c r="E52" i="81" s="1"/>
  <c r="E37" i="81"/>
  <c r="E22" i="81"/>
  <c r="E17" i="81"/>
  <c r="E13" i="81"/>
  <c r="E29" i="81" l="1"/>
  <c r="E53" i="81"/>
  <c r="E51" i="81"/>
  <c r="D41" i="84"/>
  <c r="D55" i="84" s="1"/>
  <c r="K55" i="84"/>
  <c r="J55" i="84"/>
  <c r="K37" i="84"/>
  <c r="J37" i="84"/>
  <c r="I37" i="84"/>
  <c r="H37" i="84"/>
  <c r="G37" i="84"/>
  <c r="F37" i="84"/>
  <c r="E37" i="84"/>
  <c r="D37" i="84"/>
  <c r="K22" i="84"/>
  <c r="K29" i="84" s="1"/>
  <c r="J22" i="84"/>
  <c r="J29" i="84" s="1"/>
  <c r="I22" i="84"/>
  <c r="I29" i="84" s="1"/>
  <c r="H22" i="84"/>
  <c r="H29" i="84" s="1"/>
  <c r="G22" i="84"/>
  <c r="F22" i="84"/>
  <c r="F29" i="84" s="1"/>
  <c r="E22" i="84"/>
  <c r="E29" i="84" s="1"/>
  <c r="D22" i="84"/>
  <c r="K17" i="84"/>
  <c r="J17" i="84"/>
  <c r="I17" i="84"/>
  <c r="H17" i="84"/>
  <c r="G17" i="84"/>
  <c r="F17" i="84"/>
  <c r="E17" i="84"/>
  <c r="D17" i="84"/>
  <c r="G13" i="84"/>
  <c r="F13" i="84"/>
  <c r="E13" i="84"/>
  <c r="D13" i="84"/>
  <c r="E10" i="84"/>
  <c r="F10" i="84" s="1"/>
  <c r="G10" i="84" s="1"/>
  <c r="H10" i="84" s="1"/>
  <c r="I10" i="84" s="1"/>
  <c r="J10" i="84" s="1"/>
  <c r="K10" i="84" s="1"/>
  <c r="C24" i="84" l="1"/>
  <c r="C27" i="84" s="1"/>
  <c r="D53" i="84"/>
  <c r="G24" i="84"/>
  <c r="G27" i="84" s="1"/>
  <c r="D24" i="84"/>
  <c r="D27" i="84" s="1"/>
  <c r="H24" i="84"/>
  <c r="H27" i="84" s="1"/>
  <c r="D29" i="84"/>
  <c r="D52" i="84"/>
  <c r="D51" i="84"/>
  <c r="D50" i="84"/>
  <c r="E24" i="84"/>
  <c r="E27" i="84" s="1"/>
  <c r="G29" i="84"/>
  <c r="F24" i="84"/>
  <c r="F27" i="84" s="1"/>
  <c r="C41" i="83"/>
  <c r="C55" i="83" s="1"/>
  <c r="J55" i="83"/>
  <c r="J37" i="83"/>
  <c r="I37" i="83"/>
  <c r="H37" i="83"/>
  <c r="G37" i="83"/>
  <c r="F37" i="83"/>
  <c r="E37" i="83"/>
  <c r="D37" i="83"/>
  <c r="C37" i="83"/>
  <c r="J22" i="83"/>
  <c r="J29" i="83" s="1"/>
  <c r="I22" i="83"/>
  <c r="I29" i="83" s="1"/>
  <c r="H22" i="83"/>
  <c r="H29" i="83" s="1"/>
  <c r="G22" i="83"/>
  <c r="F22" i="83"/>
  <c r="E22" i="83"/>
  <c r="E29" i="83" s="1"/>
  <c r="D22" i="83"/>
  <c r="D29" i="83" s="1"/>
  <c r="C22" i="83"/>
  <c r="J17" i="83"/>
  <c r="I17" i="83"/>
  <c r="H17" i="83"/>
  <c r="G17" i="83"/>
  <c r="F17" i="83"/>
  <c r="E17" i="83"/>
  <c r="D17" i="83"/>
  <c r="C17" i="83"/>
  <c r="F13" i="83"/>
  <c r="E13" i="83"/>
  <c r="D13" i="83"/>
  <c r="C13" i="83"/>
  <c r="D10" i="83"/>
  <c r="E10" i="83" s="1"/>
  <c r="F10" i="83" s="1"/>
  <c r="G10" i="83" s="1"/>
  <c r="H10" i="83" s="1"/>
  <c r="I10" i="83" s="1"/>
  <c r="J10" i="83" s="1"/>
  <c r="J113" i="2"/>
  <c r="C113" i="2"/>
  <c r="F113" i="2"/>
  <c r="E113" i="2"/>
  <c r="O113" i="2"/>
  <c r="I113" i="2"/>
  <c r="F24" i="83" l="1"/>
  <c r="F27" i="83" s="1"/>
  <c r="C24" i="83"/>
  <c r="C27" i="83" s="1"/>
  <c r="G24" i="83"/>
  <c r="G27" i="83" s="1"/>
  <c r="C53" i="83"/>
  <c r="C52" i="83"/>
  <c r="C51" i="83"/>
  <c r="C50" i="83"/>
  <c r="D24" i="83"/>
  <c r="D27" i="83" s="1"/>
  <c r="F29" i="83"/>
  <c r="E24" i="83"/>
  <c r="E27" i="83" s="1"/>
  <c r="C29" i="83"/>
  <c r="G29" i="83"/>
  <c r="D46" i="5"/>
  <c r="D41" i="5"/>
  <c r="D37" i="5"/>
  <c r="D22" i="5"/>
  <c r="D29" i="5" s="1"/>
  <c r="D34" i="5" s="1"/>
  <c r="D17" i="5"/>
  <c r="D13" i="5"/>
  <c r="O86" i="2"/>
  <c r="I86" i="2"/>
  <c r="D41" i="82" l="1"/>
  <c r="D55" i="82" s="1"/>
  <c r="J55" i="82"/>
  <c r="J37" i="82"/>
  <c r="I37" i="82"/>
  <c r="H37" i="82"/>
  <c r="G37" i="82"/>
  <c r="F37" i="82"/>
  <c r="E37" i="82"/>
  <c r="D37" i="82"/>
  <c r="J22" i="82"/>
  <c r="J29" i="82" s="1"/>
  <c r="I22" i="82"/>
  <c r="I29" i="82" s="1"/>
  <c r="H22" i="82"/>
  <c r="G22" i="82"/>
  <c r="F22" i="82"/>
  <c r="F29" i="82" s="1"/>
  <c r="E22" i="82"/>
  <c r="E29" i="82" s="1"/>
  <c r="D22" i="82"/>
  <c r="J17" i="82"/>
  <c r="I17" i="82"/>
  <c r="H17" i="82"/>
  <c r="G17" i="82"/>
  <c r="F17" i="82"/>
  <c r="E17" i="82"/>
  <c r="D17" i="82"/>
  <c r="F13" i="82"/>
  <c r="E13" i="82"/>
  <c r="D13" i="82"/>
  <c r="E10" i="82"/>
  <c r="F10" i="82" s="1"/>
  <c r="G10" i="82" s="1"/>
  <c r="H10" i="82" s="1"/>
  <c r="I10" i="82" s="1"/>
  <c r="J10" i="82" s="1"/>
  <c r="J86" i="2"/>
  <c r="F86" i="2"/>
  <c r="E86" i="2"/>
  <c r="C86" i="2"/>
  <c r="B24" i="82" l="1"/>
  <c r="B27" i="82" s="1"/>
  <c r="C24" i="82"/>
  <c r="C27" i="82" s="1"/>
  <c r="C47" i="82" s="1"/>
  <c r="G24" i="82"/>
  <c r="G27" i="82" s="1"/>
  <c r="D24" i="82"/>
  <c r="D27" i="82" s="1"/>
  <c r="H24" i="82"/>
  <c r="H27" i="82" s="1"/>
  <c r="D29" i="82"/>
  <c r="H29" i="82"/>
  <c r="D53" i="82"/>
  <c r="D52" i="82"/>
  <c r="D51" i="82"/>
  <c r="D50" i="82"/>
  <c r="E24" i="82"/>
  <c r="E27" i="82" s="1"/>
  <c r="G29" i="82"/>
  <c r="F24" i="82"/>
  <c r="F27" i="82" s="1"/>
  <c r="F41" i="81"/>
  <c r="K55" i="81"/>
  <c r="K37" i="81"/>
  <c r="J37" i="81"/>
  <c r="I37" i="81"/>
  <c r="H37" i="81"/>
  <c r="G37" i="81"/>
  <c r="F37" i="81"/>
  <c r="K22" i="81"/>
  <c r="K29" i="81" s="1"/>
  <c r="J22" i="81"/>
  <c r="J29" i="81" s="1"/>
  <c r="I22" i="81"/>
  <c r="H22" i="81"/>
  <c r="H29" i="81" s="1"/>
  <c r="G22" i="81"/>
  <c r="G29" i="81" s="1"/>
  <c r="F22" i="81"/>
  <c r="K17" i="81"/>
  <c r="J17" i="81"/>
  <c r="I17" i="81"/>
  <c r="H17" i="81"/>
  <c r="G17" i="81"/>
  <c r="F17" i="81"/>
  <c r="G13" i="81"/>
  <c r="F13" i="81"/>
  <c r="G10" i="81"/>
  <c r="H10" i="81" s="1"/>
  <c r="I10" i="81" s="1"/>
  <c r="J10" i="81" s="1"/>
  <c r="K10" i="81" s="1"/>
  <c r="J8" i="2"/>
  <c r="C48" i="81" l="1"/>
  <c r="C53" i="81" s="1"/>
  <c r="D48" i="81"/>
  <c r="D53" i="81" s="1"/>
  <c r="D24" i="81"/>
  <c r="D27" i="81" s="1"/>
  <c r="D47" i="81" s="1"/>
  <c r="C24" i="81"/>
  <c r="C27" i="81" s="1"/>
  <c r="C47" i="81" s="1"/>
  <c r="C55" i="82"/>
  <c r="C50" i="82"/>
  <c r="C52" i="82"/>
  <c r="C51" i="82"/>
  <c r="F51" i="81"/>
  <c r="F53" i="81"/>
  <c r="F52" i="81"/>
  <c r="E24" i="81"/>
  <c r="E27" i="81" s="1"/>
  <c r="I24" i="81"/>
  <c r="I27" i="81" s="1"/>
  <c r="F24" i="81"/>
  <c r="F27" i="81" s="1"/>
  <c r="J24" i="81"/>
  <c r="J27" i="81" s="1"/>
  <c r="F29" i="81"/>
  <c r="G24" i="81"/>
  <c r="G27" i="81" s="1"/>
  <c r="I29" i="81"/>
  <c r="H24" i="81"/>
  <c r="H27" i="81" s="1"/>
  <c r="C41" i="80"/>
  <c r="J55" i="80"/>
  <c r="I55" i="80"/>
  <c r="H55" i="80"/>
  <c r="C55" i="80"/>
  <c r="J37" i="80"/>
  <c r="I37" i="80"/>
  <c r="H37" i="80"/>
  <c r="G37" i="80"/>
  <c r="F37" i="80"/>
  <c r="E37" i="80"/>
  <c r="D37" i="80"/>
  <c r="C37" i="80"/>
  <c r="C53" i="80" s="1"/>
  <c r="J22" i="80"/>
  <c r="J29" i="80" s="1"/>
  <c r="I22" i="80"/>
  <c r="I29" i="80" s="1"/>
  <c r="H22" i="80"/>
  <c r="H29" i="80" s="1"/>
  <c r="G22" i="80"/>
  <c r="F22" i="80"/>
  <c r="F29" i="80" s="1"/>
  <c r="E22" i="80"/>
  <c r="E29" i="80" s="1"/>
  <c r="D22" i="80"/>
  <c r="C22" i="80"/>
  <c r="J17" i="80"/>
  <c r="I17" i="80"/>
  <c r="H17" i="80"/>
  <c r="G17" i="80"/>
  <c r="F17" i="80"/>
  <c r="E17" i="80"/>
  <c r="D17" i="80"/>
  <c r="C17" i="80"/>
  <c r="F13" i="80"/>
  <c r="E13" i="80"/>
  <c r="D13" i="80"/>
  <c r="C13" i="80"/>
  <c r="D10" i="80"/>
  <c r="E10" i="80" s="1"/>
  <c r="F10" i="80" s="1"/>
  <c r="G10" i="80" s="1"/>
  <c r="H10" i="80" s="1"/>
  <c r="I10" i="80" s="1"/>
  <c r="J10" i="80" s="1"/>
  <c r="F8" i="2"/>
  <c r="J6" i="2"/>
  <c r="C52" i="81" l="1"/>
  <c r="C51" i="81"/>
  <c r="C50" i="81"/>
  <c r="D50" i="81"/>
  <c r="D51" i="81"/>
  <c r="D52" i="81"/>
  <c r="C24" i="80"/>
  <c r="C27" i="80" s="1"/>
  <c r="G24" i="80"/>
  <c r="G27" i="80" s="1"/>
  <c r="F24" i="80"/>
  <c r="F27" i="80" s="1"/>
  <c r="D24" i="80"/>
  <c r="D27" i="80" s="1"/>
  <c r="C52" i="80"/>
  <c r="C50" i="80"/>
  <c r="C51" i="80"/>
  <c r="E24" i="80"/>
  <c r="E27" i="80" s="1"/>
  <c r="C29" i="80"/>
  <c r="G29" i="80"/>
  <c r="D29" i="80"/>
  <c r="D41" i="28"/>
  <c r="D33" i="28"/>
  <c r="D37" i="28"/>
  <c r="D29" i="28"/>
  <c r="D17" i="28"/>
  <c r="D22" i="28"/>
  <c r="D46" i="28"/>
  <c r="D13" i="28"/>
  <c r="E6" i="2"/>
  <c r="C8" i="2"/>
  <c r="J4" i="2"/>
  <c r="I4" i="2"/>
  <c r="O4" i="2"/>
  <c r="D34" i="28" l="1"/>
  <c r="F46" i="66"/>
  <c r="E46" i="66"/>
  <c r="D46" i="66"/>
  <c r="D47" i="66"/>
  <c r="D50" i="66"/>
  <c r="D41" i="66"/>
  <c r="D52" i="66" s="1"/>
  <c r="D40" i="66"/>
  <c r="D37" i="66"/>
  <c r="D48" i="66" s="1"/>
  <c r="D53" i="66" s="1"/>
  <c r="E37" i="66"/>
  <c r="F37" i="66"/>
  <c r="G37" i="66"/>
  <c r="I37" i="66"/>
  <c r="D27" i="66"/>
  <c r="E27" i="66"/>
  <c r="E47" i="66" s="1"/>
  <c r="D22" i="66"/>
  <c r="D29" i="66" s="1"/>
  <c r="D17" i="66"/>
  <c r="E22" i="66"/>
  <c r="E29" i="66" s="1"/>
  <c r="E17" i="66"/>
  <c r="F22" i="66"/>
  <c r="F17" i="66"/>
  <c r="J22" i="66"/>
  <c r="J17" i="66"/>
  <c r="I22" i="66"/>
  <c r="I29" i="66" s="1"/>
  <c r="I17" i="66"/>
  <c r="J13" i="66"/>
  <c r="I13" i="66"/>
  <c r="H13" i="66"/>
  <c r="G13" i="66"/>
  <c r="F13" i="66"/>
  <c r="E13" i="66"/>
  <c r="D13" i="66"/>
  <c r="F4" i="2"/>
  <c r="E4" i="2"/>
  <c r="C6" i="2"/>
  <c r="C4" i="2"/>
  <c r="O8" i="2"/>
  <c r="I8" i="2"/>
  <c r="F6" i="2"/>
  <c r="I6" i="2"/>
  <c r="E8" i="2"/>
  <c r="O6" i="2"/>
  <c r="D55" i="66" l="1"/>
  <c r="D51" i="66"/>
  <c r="D41" i="19"/>
  <c r="D13" i="19"/>
  <c r="J37" i="19"/>
  <c r="D37" i="19"/>
  <c r="D29" i="19"/>
  <c r="D24" i="19"/>
  <c r="D25" i="19" s="1"/>
  <c r="D26" i="19" s="1"/>
  <c r="D27" i="19" s="1"/>
  <c r="D47" i="19" s="1"/>
  <c r="D22" i="19"/>
  <c r="D17" i="19"/>
  <c r="D50" i="19" l="1"/>
  <c r="D51" i="19"/>
  <c r="D55" i="19"/>
  <c r="D52" i="19"/>
  <c r="G16" i="62"/>
  <c r="F16" i="62"/>
  <c r="E16" i="62" s="1"/>
  <c r="D16" i="62" s="1"/>
  <c r="F30" i="62"/>
  <c r="E30" i="62" s="1"/>
  <c r="D30" i="62" s="1"/>
  <c r="F31" i="62"/>
  <c r="E31" i="62" s="1"/>
  <c r="D31" i="62" s="1"/>
  <c r="F12" i="62"/>
  <c r="F32" i="62"/>
  <c r="E32" i="62" s="1"/>
  <c r="D32" i="62" s="1"/>
  <c r="F36" i="62"/>
  <c r="E36" i="62" s="1"/>
  <c r="D36" i="62" s="1"/>
  <c r="F35" i="62"/>
  <c r="E35" i="62" s="1"/>
  <c r="F40" i="62"/>
  <c r="F41" i="62" s="1"/>
  <c r="F51" i="62" s="1"/>
  <c r="F22" i="62"/>
  <c r="F29" i="62" s="1"/>
  <c r="F27" i="62"/>
  <c r="F47" i="62" s="1"/>
  <c r="F52" i="62" l="1"/>
  <c r="D22" i="62"/>
  <c r="D29" i="62" s="1"/>
  <c r="E37" i="62"/>
  <c r="D35" i="62"/>
  <c r="D37" i="62" s="1"/>
  <c r="E12" i="62"/>
  <c r="F46" i="62"/>
  <c r="F55" i="62"/>
  <c r="E22" i="62"/>
  <c r="E29" i="62" s="1"/>
  <c r="E34" i="62" s="1"/>
  <c r="F37" i="62"/>
  <c r="F34" i="62"/>
  <c r="F17" i="62"/>
  <c r="F50" i="62"/>
  <c r="O37" i="79"/>
  <c r="O22" i="79"/>
  <c r="O29" i="79" s="1"/>
  <c r="O17" i="79"/>
  <c r="N37" i="79"/>
  <c r="N22" i="79"/>
  <c r="N29" i="79" s="1"/>
  <c r="N17" i="79"/>
  <c r="M37" i="79"/>
  <c r="M22" i="79"/>
  <c r="M29" i="79" s="1"/>
  <c r="M17" i="79"/>
  <c r="F41" i="79"/>
  <c r="O55" i="79"/>
  <c r="L55" i="79"/>
  <c r="L37" i="79"/>
  <c r="K37" i="79"/>
  <c r="J37" i="79"/>
  <c r="I37" i="79"/>
  <c r="H37" i="79"/>
  <c r="G37" i="79"/>
  <c r="F37" i="79"/>
  <c r="L22" i="79"/>
  <c r="L29" i="79" s="1"/>
  <c r="K22" i="79"/>
  <c r="K29" i="79" s="1"/>
  <c r="J22" i="79"/>
  <c r="J24" i="79" s="1"/>
  <c r="J27" i="79" s="1"/>
  <c r="I22" i="79"/>
  <c r="I29" i="79" s="1"/>
  <c r="H22" i="79"/>
  <c r="H29" i="79" s="1"/>
  <c r="G22" i="79"/>
  <c r="G29" i="79" s="1"/>
  <c r="F22" i="79"/>
  <c r="L17" i="79"/>
  <c r="K17" i="79"/>
  <c r="J17" i="79"/>
  <c r="I17" i="79"/>
  <c r="H17" i="79"/>
  <c r="G17" i="79"/>
  <c r="F17" i="79"/>
  <c r="I13" i="79"/>
  <c r="H13" i="79"/>
  <c r="G13" i="79"/>
  <c r="F13" i="79"/>
  <c r="G10" i="79"/>
  <c r="H10" i="79" s="1"/>
  <c r="I10" i="79" s="1"/>
  <c r="J10" i="79" s="1"/>
  <c r="K10" i="79" s="1"/>
  <c r="L10" i="79" s="1"/>
  <c r="M10" i="79" s="1"/>
  <c r="N10" i="79" s="1"/>
  <c r="O10" i="79" s="1"/>
  <c r="D34" i="62" l="1"/>
  <c r="D12" i="62"/>
  <c r="E46" i="62"/>
  <c r="E17" i="62"/>
  <c r="D48" i="79"/>
  <c r="D53" i="79" s="1"/>
  <c r="C48" i="79"/>
  <c r="C53" i="79" s="1"/>
  <c r="F29" i="79"/>
  <c r="D24" i="79"/>
  <c r="D25" i="79" s="1"/>
  <c r="D27" i="79" s="1"/>
  <c r="D47" i="79" s="1"/>
  <c r="C24" i="79"/>
  <c r="L24" i="79"/>
  <c r="L27" i="79" s="1"/>
  <c r="E24" i="79"/>
  <c r="E27" i="79" s="1"/>
  <c r="E47" i="79" s="1"/>
  <c r="F48" i="79"/>
  <c r="F53" i="79" s="1"/>
  <c r="E48" i="79"/>
  <c r="E53" i="79" s="1"/>
  <c r="K24" i="79"/>
  <c r="K27" i="79" s="1"/>
  <c r="F24" i="79"/>
  <c r="F27" i="79" s="1"/>
  <c r="F47" i="79" s="1"/>
  <c r="F55" i="79" s="1"/>
  <c r="J29" i="79"/>
  <c r="I24" i="79"/>
  <c r="I27" i="79" s="1"/>
  <c r="G24" i="79"/>
  <c r="G27" i="79" s="1"/>
  <c r="H24" i="79"/>
  <c r="H27" i="79" s="1"/>
  <c r="C37" i="24"/>
  <c r="C13" i="24"/>
  <c r="C40" i="24"/>
  <c r="C41" i="24" s="1"/>
  <c r="C44" i="24"/>
  <c r="C22" i="24"/>
  <c r="C17" i="24"/>
  <c r="O22" i="2"/>
  <c r="C22" i="2"/>
  <c r="C46" i="62" l="1"/>
  <c r="D46" i="62"/>
  <c r="D17" i="62"/>
  <c r="D55" i="79"/>
  <c r="D52" i="79"/>
  <c r="D51" i="79"/>
  <c r="D50" i="79"/>
  <c r="C25" i="79"/>
  <c r="C27" i="79"/>
  <c r="C47" i="79" s="1"/>
  <c r="F52" i="79"/>
  <c r="E50" i="79"/>
  <c r="E52" i="79"/>
  <c r="E51" i="79"/>
  <c r="E55" i="79"/>
  <c r="F51" i="79"/>
  <c r="F50" i="79"/>
  <c r="C29" i="24"/>
  <c r="E53" i="71"/>
  <c r="E52" i="71"/>
  <c r="E51" i="71"/>
  <c r="E40" i="71"/>
  <c r="E41" i="71" s="1"/>
  <c r="E55" i="71" s="1"/>
  <c r="D13" i="71"/>
  <c r="C13" i="71"/>
  <c r="H22" i="71"/>
  <c r="H29" i="71" s="1"/>
  <c r="G22" i="71"/>
  <c r="H17" i="71"/>
  <c r="G17" i="71"/>
  <c r="C41" i="71"/>
  <c r="C37" i="71"/>
  <c r="C22" i="71"/>
  <c r="C17" i="71"/>
  <c r="J22" i="2"/>
  <c r="F22" i="2"/>
  <c r="I22" i="2"/>
  <c r="E22" i="2"/>
  <c r="C55" i="79" l="1"/>
  <c r="C52" i="79"/>
  <c r="C51" i="79"/>
  <c r="C50" i="79"/>
  <c r="C29" i="71"/>
  <c r="G29" i="71"/>
  <c r="E24" i="71"/>
  <c r="E27" i="71" s="1"/>
  <c r="E50" i="71"/>
  <c r="F40" i="12"/>
  <c r="F41" i="12"/>
  <c r="F37" i="12"/>
  <c r="F27" i="12"/>
  <c r="F47" i="12" s="1"/>
  <c r="F22" i="12"/>
  <c r="F17" i="12"/>
  <c r="F13" i="12"/>
  <c r="F55" i="12"/>
  <c r="F29" i="12" l="1"/>
  <c r="C24" i="12"/>
  <c r="F50" i="12"/>
  <c r="F51" i="12"/>
  <c r="F52" i="12"/>
  <c r="F31" i="11"/>
  <c r="E31" i="11" s="1"/>
  <c r="D31" i="11" s="1"/>
  <c r="J31" i="11"/>
  <c r="F35" i="11"/>
  <c r="E35" i="11" s="1"/>
  <c r="F36" i="11"/>
  <c r="E36" i="11" s="1"/>
  <c r="D36" i="11" s="1"/>
  <c r="F16" i="11"/>
  <c r="E16" i="11" s="1"/>
  <c r="F22" i="11"/>
  <c r="E22" i="11" s="1"/>
  <c r="D22" i="11" s="1"/>
  <c r="F20" i="11"/>
  <c r="F33" i="11" s="1"/>
  <c r="J22" i="11"/>
  <c r="I22" i="11" s="1"/>
  <c r="H22" i="11" s="1"/>
  <c r="J16" i="11"/>
  <c r="I16" i="11" s="1"/>
  <c r="H16" i="11" s="1"/>
  <c r="F12" i="11"/>
  <c r="F13" i="11" s="1"/>
  <c r="J12" i="11"/>
  <c r="I12" i="11" s="1"/>
  <c r="H12" i="11" s="1"/>
  <c r="G46" i="11" s="1"/>
  <c r="F40" i="11"/>
  <c r="F29" i="11"/>
  <c r="C25" i="12" l="1"/>
  <c r="C27" i="12" s="1"/>
  <c r="C47" i="12" s="1"/>
  <c r="F37" i="11"/>
  <c r="E12" i="11"/>
  <c r="F46" i="11"/>
  <c r="E37" i="11"/>
  <c r="D35" i="11"/>
  <c r="D37" i="11" s="1"/>
  <c r="H20" i="11"/>
  <c r="C24" i="11"/>
  <c r="D24" i="11"/>
  <c r="D25" i="11" s="1"/>
  <c r="D27" i="11" s="1"/>
  <c r="D47" i="11" s="1"/>
  <c r="D29" i="11"/>
  <c r="E17" i="11"/>
  <c r="D16" i="11"/>
  <c r="E29" i="11"/>
  <c r="E20" i="11"/>
  <c r="E33" i="11" s="1"/>
  <c r="E13" i="11"/>
  <c r="F17" i="11"/>
  <c r="F39" i="6"/>
  <c r="J32" i="6"/>
  <c r="F36" i="6"/>
  <c r="J35" i="6"/>
  <c r="J31" i="6"/>
  <c r="J30" i="6"/>
  <c r="F22" i="6"/>
  <c r="F17" i="6"/>
  <c r="F13" i="6"/>
  <c r="F46" i="6"/>
  <c r="C50" i="12" l="1"/>
  <c r="C51" i="12"/>
  <c r="C52" i="12"/>
  <c r="D50" i="11"/>
  <c r="D55" i="11"/>
  <c r="D51" i="11"/>
  <c r="D52" i="11"/>
  <c r="C48" i="11"/>
  <c r="C53" i="11" s="1"/>
  <c r="C25" i="11"/>
  <c r="C27" i="11"/>
  <c r="C47" i="11" s="1"/>
  <c r="D20" i="11"/>
  <c r="D33" i="11" s="1"/>
  <c r="E46" i="11"/>
  <c r="D12" i="11"/>
  <c r="F29" i="6"/>
  <c r="C24" i="6"/>
  <c r="C26" i="6" s="1"/>
  <c r="C27" i="6" s="1"/>
  <c r="C47" i="6" s="1"/>
  <c r="F32" i="13"/>
  <c r="D32" i="13" s="1"/>
  <c r="D34" i="13" s="1"/>
  <c r="J32" i="13"/>
  <c r="F55" i="13"/>
  <c r="F47" i="13"/>
  <c r="F41" i="13"/>
  <c r="F33" i="13"/>
  <c r="F37" i="13"/>
  <c r="F29" i="13"/>
  <c r="F24" i="13"/>
  <c r="F25" i="13" s="1"/>
  <c r="F16" i="13"/>
  <c r="F17" i="13" s="1"/>
  <c r="F13" i="13"/>
  <c r="C48" i="13" l="1"/>
  <c r="C53" i="13" s="1"/>
  <c r="C50" i="11"/>
  <c r="C55" i="11"/>
  <c r="C52" i="11"/>
  <c r="C51" i="11"/>
  <c r="C46" i="11"/>
  <c r="D46" i="11"/>
  <c r="D13" i="11"/>
  <c r="D17" i="11"/>
  <c r="C55" i="6"/>
  <c r="C50" i="6"/>
  <c r="C51" i="6"/>
  <c r="C52" i="6"/>
  <c r="F52" i="13"/>
  <c r="F50" i="13"/>
  <c r="F51" i="13"/>
  <c r="F34" i="13"/>
  <c r="F55" i="29"/>
  <c r="F46" i="29"/>
  <c r="G55" i="29"/>
  <c r="G46" i="29"/>
  <c r="H55" i="29"/>
  <c r="H46" i="29"/>
  <c r="H40" i="29"/>
  <c r="G40" i="29"/>
  <c r="G41" i="29" s="1"/>
  <c r="K41" i="29"/>
  <c r="J41" i="29"/>
  <c r="I41" i="29"/>
  <c r="H41" i="29"/>
  <c r="F41" i="29"/>
  <c r="F37" i="29"/>
  <c r="G37" i="29"/>
  <c r="H37" i="29"/>
  <c r="F22" i="29"/>
  <c r="F29" i="29" s="1"/>
  <c r="F17" i="29"/>
  <c r="G22" i="29"/>
  <c r="G17" i="29"/>
  <c r="H22" i="29"/>
  <c r="H17" i="29"/>
  <c r="F13" i="29"/>
  <c r="G13" i="29"/>
  <c r="H13" i="29"/>
  <c r="C48" i="29" l="1"/>
  <c r="C53" i="29" s="1"/>
  <c r="D48" i="29"/>
  <c r="D53" i="29" s="1"/>
  <c r="D24" i="29"/>
  <c r="C24" i="29"/>
  <c r="E24" i="29"/>
  <c r="E48" i="29"/>
  <c r="E53" i="29" s="1"/>
  <c r="E40" i="7"/>
  <c r="E41" i="7"/>
  <c r="I36" i="7"/>
  <c r="I35" i="7"/>
  <c r="E36" i="7"/>
  <c r="E35" i="7"/>
  <c r="E32" i="7"/>
  <c r="E31" i="7"/>
  <c r="E30" i="7"/>
  <c r="I32" i="7"/>
  <c r="I31" i="7"/>
  <c r="I30" i="7"/>
  <c r="E16" i="7"/>
  <c r="E22" i="7" s="1"/>
  <c r="I16" i="7"/>
  <c r="I12" i="7"/>
  <c r="E12" i="7"/>
  <c r="E13" i="7" s="1"/>
  <c r="C25" i="29" l="1"/>
  <c r="C27" i="29" s="1"/>
  <c r="C47" i="29" s="1"/>
  <c r="D25" i="29"/>
  <c r="D27" i="29"/>
  <c r="D47" i="29" s="1"/>
  <c r="E37" i="7"/>
  <c r="E29" i="7"/>
  <c r="E17" i="7"/>
  <c r="E25" i="29"/>
  <c r="E27" i="29" s="1"/>
  <c r="E47" i="29" s="1"/>
  <c r="E40" i="21"/>
  <c r="E41" i="21"/>
  <c r="E37" i="21"/>
  <c r="E29" i="21"/>
  <c r="E17" i="21"/>
  <c r="E21" i="21"/>
  <c r="E13" i="21"/>
  <c r="F13" i="21"/>
  <c r="F17" i="21"/>
  <c r="F21" i="21"/>
  <c r="F29" i="21"/>
  <c r="F32" i="21"/>
  <c r="F37" i="21"/>
  <c r="F41" i="21"/>
  <c r="D50" i="29" l="1"/>
  <c r="D52" i="29"/>
  <c r="D51" i="29"/>
  <c r="C50" i="29"/>
  <c r="C51" i="29"/>
  <c r="C52" i="29"/>
  <c r="E50" i="29"/>
  <c r="E52" i="29"/>
  <c r="E51" i="29"/>
  <c r="D39" i="34"/>
  <c r="D41" i="34" s="1"/>
  <c r="D40" i="34"/>
  <c r="D30" i="34"/>
  <c r="C30" i="34" s="1"/>
  <c r="D31" i="34"/>
  <c r="C31" i="34" s="1"/>
  <c r="D35" i="34"/>
  <c r="C35" i="34" s="1"/>
  <c r="C37" i="34" s="1"/>
  <c r="D36" i="34"/>
  <c r="C36" i="34" s="1"/>
  <c r="D22" i="34"/>
  <c r="D17" i="34"/>
  <c r="D12" i="34"/>
  <c r="D55" i="34"/>
  <c r="D29" i="34" l="1"/>
  <c r="D37" i="34"/>
  <c r="F40" i="30"/>
  <c r="F41" i="30" s="1"/>
  <c r="F37" i="30"/>
  <c r="F22" i="30"/>
  <c r="F17" i="30"/>
  <c r="F13" i="30"/>
  <c r="F46" i="30"/>
  <c r="C24" i="30" l="1"/>
  <c r="C27" i="30" s="1"/>
  <c r="C47" i="30" s="1"/>
  <c r="C48" i="30"/>
  <c r="C53" i="30" s="1"/>
  <c r="F29" i="30"/>
  <c r="E41" i="77"/>
  <c r="C52" i="30" l="1"/>
  <c r="C51" i="30"/>
  <c r="C50" i="30"/>
  <c r="E42" i="72"/>
  <c r="D42" i="72" s="1"/>
  <c r="E22" i="72"/>
  <c r="E17" i="72"/>
  <c r="E40" i="72"/>
  <c r="E41" i="72" s="1"/>
  <c r="E35" i="72"/>
  <c r="D35" i="72" s="1"/>
  <c r="E36" i="72"/>
  <c r="I36" i="72"/>
  <c r="H36" i="72" s="1"/>
  <c r="I35" i="72"/>
  <c r="H35" i="72" s="1"/>
  <c r="E46" i="72"/>
  <c r="E13" i="72"/>
  <c r="E37" i="72" l="1"/>
  <c r="D36" i="72"/>
  <c r="D37" i="72" s="1"/>
  <c r="E29" i="72"/>
  <c r="F46" i="49"/>
  <c r="F41" i="49"/>
  <c r="F33" i="49"/>
  <c r="F37" i="49"/>
  <c r="F17" i="49"/>
  <c r="F22" i="49"/>
  <c r="F13" i="49"/>
  <c r="C24" i="49" l="1"/>
  <c r="F29" i="49"/>
  <c r="F34" i="49" s="1"/>
  <c r="F39" i="44"/>
  <c r="F42" i="44"/>
  <c r="F22" i="44"/>
  <c r="F17" i="44"/>
  <c r="F35" i="44"/>
  <c r="E35" i="44" s="1"/>
  <c r="F36" i="44"/>
  <c r="E36" i="44" s="1"/>
  <c r="F31" i="44"/>
  <c r="E31" i="44" s="1"/>
  <c r="F30" i="44"/>
  <c r="E30" i="44" s="1"/>
  <c r="F13" i="44"/>
  <c r="C24" i="44" l="1"/>
  <c r="C27" i="44" s="1"/>
  <c r="C47" i="44" s="1"/>
  <c r="F37" i="44"/>
  <c r="C25" i="49"/>
  <c r="C27" i="49"/>
  <c r="C47" i="49" s="1"/>
  <c r="E37" i="44"/>
  <c r="F29" i="44"/>
  <c r="C31" i="36"/>
  <c r="B31" i="36" s="1"/>
  <c r="G31" i="36"/>
  <c r="F31" i="36" s="1"/>
  <c r="C30" i="36"/>
  <c r="B30" i="36" s="1"/>
  <c r="C16" i="36"/>
  <c r="C17" i="36" s="1"/>
  <c r="C21" i="36"/>
  <c r="C40" i="36"/>
  <c r="C41" i="36" s="1"/>
  <c r="C32" i="36"/>
  <c r="B32" i="36" s="1"/>
  <c r="C33" i="36"/>
  <c r="C35" i="36"/>
  <c r="B35" i="36" s="1"/>
  <c r="C36" i="36"/>
  <c r="B36" i="36" s="1"/>
  <c r="C13" i="36"/>
  <c r="C48" i="44" l="1"/>
  <c r="C53" i="44" s="1"/>
  <c r="C55" i="44"/>
  <c r="C52" i="44"/>
  <c r="C50" i="44"/>
  <c r="C51" i="44"/>
  <c r="C55" i="49"/>
  <c r="C52" i="49"/>
  <c r="C51" i="49"/>
  <c r="C50" i="49"/>
  <c r="B37" i="36"/>
  <c r="B34" i="36"/>
  <c r="C22" i="36"/>
  <c r="C29" i="36" s="1"/>
  <c r="C34" i="36" s="1"/>
  <c r="C37" i="36"/>
  <c r="E37" i="38"/>
  <c r="E46" i="38"/>
  <c r="E40" i="38"/>
  <c r="E41" i="38" s="1"/>
  <c r="E22" i="38"/>
  <c r="E17" i="38"/>
  <c r="E13" i="38"/>
  <c r="E29" i="38" l="1"/>
  <c r="D46" i="59"/>
  <c r="D41" i="59"/>
  <c r="D37" i="59"/>
  <c r="D29" i="59"/>
  <c r="D21" i="59"/>
  <c r="D33" i="59" s="1"/>
  <c r="D17" i="59"/>
  <c r="D13" i="59"/>
  <c r="D34" i="59" l="1"/>
  <c r="F46" i="20"/>
  <c r="F41" i="20"/>
  <c r="F37" i="20"/>
  <c r="F22" i="20"/>
  <c r="F29" i="20" s="1"/>
  <c r="F17" i="20"/>
  <c r="F13" i="20"/>
  <c r="C24" i="20" l="1"/>
  <c r="E40" i="66"/>
  <c r="E41" i="66" s="1"/>
  <c r="C26" i="20" l="1"/>
  <c r="C27" i="20"/>
  <c r="C47" i="20" s="1"/>
  <c r="E50" i="66"/>
  <c r="E52" i="66"/>
  <c r="E51" i="66"/>
  <c r="E55" i="66"/>
  <c r="B32" i="60"/>
  <c r="B37" i="60"/>
  <c r="B35" i="60"/>
  <c r="B36" i="60"/>
  <c r="F36" i="60"/>
  <c r="F35" i="60"/>
  <c r="B30" i="60"/>
  <c r="B31" i="60"/>
  <c r="F31" i="60"/>
  <c r="F30" i="60"/>
  <c r="G32" i="60"/>
  <c r="F32" i="60" s="1"/>
  <c r="C32" i="60"/>
  <c r="B40" i="60"/>
  <c r="B41" i="60"/>
  <c r="B17" i="60"/>
  <c r="B21" i="60"/>
  <c r="F21" i="60"/>
  <c r="B29" i="60"/>
  <c r="B13" i="60"/>
  <c r="B46" i="60"/>
  <c r="C55" i="20" l="1"/>
  <c r="C52" i="20"/>
  <c r="C51" i="20"/>
  <c r="C50" i="20"/>
  <c r="E42" i="76"/>
  <c r="E41" i="76"/>
  <c r="F31" i="76"/>
  <c r="E31" i="76" s="1"/>
  <c r="D31" i="76" s="1"/>
  <c r="J31" i="76"/>
  <c r="I31" i="76" s="1"/>
  <c r="H31" i="76" s="1"/>
  <c r="E30" i="76"/>
  <c r="D30" i="76" s="1"/>
  <c r="I30" i="76"/>
  <c r="H30" i="76" s="1"/>
  <c r="E37" i="76"/>
  <c r="E35" i="76"/>
  <c r="D35" i="76" s="1"/>
  <c r="E36" i="76"/>
  <c r="D36" i="76" s="1"/>
  <c r="I36" i="76"/>
  <c r="H36" i="76" s="1"/>
  <c r="I35" i="76"/>
  <c r="H35" i="76" s="1"/>
  <c r="H37" i="76" s="1"/>
  <c r="I22" i="76"/>
  <c r="I29" i="76" s="1"/>
  <c r="I17" i="76"/>
  <c r="E22" i="76"/>
  <c r="E29" i="76" s="1"/>
  <c r="E17" i="76"/>
  <c r="J12" i="76"/>
  <c r="F12" i="76"/>
  <c r="I37" i="76" l="1"/>
  <c r="D37" i="76"/>
  <c r="E13" i="76"/>
  <c r="F42" i="68" l="1"/>
  <c r="F40" i="68"/>
  <c r="F41" i="68" s="1"/>
  <c r="F36" i="68"/>
  <c r="E36" i="68" s="1"/>
  <c r="D36" i="68" s="1"/>
  <c r="J36" i="68"/>
  <c r="I36" i="68" s="1"/>
  <c r="H36" i="68" s="1"/>
  <c r="F35" i="68"/>
  <c r="E35" i="68" s="1"/>
  <c r="D35" i="68" s="1"/>
  <c r="J35" i="68"/>
  <c r="I35" i="68" s="1"/>
  <c r="F31" i="68"/>
  <c r="E31" i="68" s="1"/>
  <c r="D31" i="68" s="1"/>
  <c r="J31" i="68"/>
  <c r="I31" i="68" s="1"/>
  <c r="H31" i="68" s="1"/>
  <c r="F30" i="68"/>
  <c r="E30" i="68" s="1"/>
  <c r="D30" i="68" s="1"/>
  <c r="J30" i="68"/>
  <c r="I30" i="68" s="1"/>
  <c r="H30" i="68" s="1"/>
  <c r="F22" i="68"/>
  <c r="F17" i="68"/>
  <c r="F13" i="68"/>
  <c r="I37" i="68" l="1"/>
  <c r="H35" i="68"/>
  <c r="D37" i="68"/>
  <c r="C24" i="68"/>
  <c r="C27" i="68" s="1"/>
  <c r="C47" i="68" s="1"/>
  <c r="E37" i="68"/>
  <c r="J37" i="68"/>
  <c r="F37" i="68"/>
  <c r="F29" i="68"/>
  <c r="E46" i="28"/>
  <c r="E41" i="28"/>
  <c r="E37" i="28"/>
  <c r="E33" i="28"/>
  <c r="E22" i="28"/>
  <c r="E17" i="28"/>
  <c r="E13" i="28"/>
  <c r="C52" i="68" l="1"/>
  <c r="C55" i="68"/>
  <c r="C51" i="68"/>
  <c r="C50" i="68"/>
  <c r="C48" i="68"/>
  <c r="C53" i="68" s="1"/>
  <c r="E29" i="28"/>
  <c r="E34" i="28"/>
  <c r="F46" i="74"/>
  <c r="E46" i="74" s="1"/>
  <c r="D46" i="74" s="1"/>
  <c r="E40" i="74"/>
  <c r="E41" i="74" s="1"/>
  <c r="F40" i="74"/>
  <c r="F41" i="74" s="1"/>
  <c r="J33" i="74"/>
  <c r="I33" i="74"/>
  <c r="F33" i="74"/>
  <c r="E33" i="74"/>
  <c r="E37" i="74"/>
  <c r="F37" i="74"/>
  <c r="F27" i="74"/>
  <c r="F47" i="74" s="1"/>
  <c r="F29" i="74"/>
  <c r="F13" i="74"/>
  <c r="E13" i="74"/>
  <c r="F34" i="74" l="1"/>
  <c r="F50" i="74"/>
  <c r="E29" i="74"/>
  <c r="E34" i="74" s="1"/>
  <c r="E24" i="74"/>
  <c r="E27" i="74" s="1"/>
  <c r="E47" i="74" s="1"/>
  <c r="E50" i="74" s="1"/>
  <c r="D24" i="74"/>
  <c r="D27" i="74" s="1"/>
  <c r="D47" i="74" s="1"/>
  <c r="F52" i="74"/>
  <c r="F55" i="74"/>
  <c r="F51" i="74"/>
  <c r="E42" i="3"/>
  <c r="E40" i="3"/>
  <c r="E41" i="3" s="1"/>
  <c r="E16" i="3"/>
  <c r="E17" i="3" s="1"/>
  <c r="E21" i="3"/>
  <c r="E31" i="3"/>
  <c r="E30" i="3"/>
  <c r="E33" i="3"/>
  <c r="E35" i="3"/>
  <c r="E37" i="3" s="1"/>
  <c r="E36" i="3"/>
  <c r="E29" i="3"/>
  <c r="E13" i="3"/>
  <c r="E52" i="74" l="1"/>
  <c r="D55" i="74"/>
  <c r="D51" i="74"/>
  <c r="D52" i="74"/>
  <c r="D50" i="74"/>
  <c r="E51" i="74"/>
  <c r="E55" i="74"/>
  <c r="F42" i="8"/>
  <c r="G40" i="8"/>
  <c r="H40" i="8"/>
  <c r="F40" i="8"/>
  <c r="F41" i="8"/>
  <c r="F36" i="8"/>
  <c r="E36" i="8" s="1"/>
  <c r="D36" i="8" s="1"/>
  <c r="F35" i="8"/>
  <c r="E35" i="8" s="1"/>
  <c r="D35" i="8" s="1"/>
  <c r="F31" i="8"/>
  <c r="E31" i="8" s="1"/>
  <c r="D31" i="8" s="1"/>
  <c r="F30" i="8"/>
  <c r="E30" i="8" s="1"/>
  <c r="D30" i="8" s="1"/>
  <c r="F13" i="8"/>
  <c r="F22" i="8"/>
  <c r="F17" i="8"/>
  <c r="D37" i="8" l="1"/>
  <c r="C24" i="8"/>
  <c r="C27" i="8" s="1"/>
  <c r="C47" i="8" s="1"/>
  <c r="F29" i="8"/>
  <c r="E37" i="8"/>
  <c r="F37" i="8"/>
  <c r="E40" i="16"/>
  <c r="E42" i="16"/>
  <c r="E41" i="16"/>
  <c r="E30" i="16"/>
  <c r="D30" i="16" s="1"/>
  <c r="E35" i="16"/>
  <c r="D35" i="16" s="1"/>
  <c r="D37" i="16" s="1"/>
  <c r="E36" i="16"/>
  <c r="D36" i="16" s="1"/>
  <c r="E13" i="16"/>
  <c r="C55" i="8" l="1"/>
  <c r="C52" i="8"/>
  <c r="C50" i="8"/>
  <c r="C51" i="8"/>
  <c r="C48" i="8"/>
  <c r="C53" i="8" s="1"/>
  <c r="E37" i="16"/>
  <c r="E46" i="63"/>
  <c r="E41" i="63"/>
  <c r="E53" i="63" s="1"/>
  <c r="E37" i="63"/>
  <c r="E27" i="63"/>
  <c r="E47" i="63" s="1"/>
  <c r="E22" i="63"/>
  <c r="E29" i="63" s="1"/>
  <c r="E17" i="63"/>
  <c r="I22" i="63"/>
  <c r="I17" i="63"/>
  <c r="E13" i="63"/>
  <c r="I13" i="63"/>
  <c r="E55" i="63" l="1"/>
  <c r="E50" i="63"/>
  <c r="E51" i="63"/>
  <c r="E52" i="63"/>
  <c r="F40" i="47"/>
  <c r="F41" i="47"/>
  <c r="F17" i="47"/>
  <c r="F21" i="47"/>
  <c r="F33" i="47" s="1"/>
  <c r="F34" i="47" s="1"/>
  <c r="J21" i="47"/>
  <c r="F37" i="47"/>
  <c r="F29" i="47"/>
  <c r="F24" i="47"/>
  <c r="F25" i="47" s="1"/>
  <c r="F13" i="47"/>
  <c r="F27" i="47" l="1"/>
  <c r="F47" i="47" s="1"/>
  <c r="F50" i="47" s="1"/>
  <c r="F55" i="47"/>
  <c r="F51" i="47"/>
  <c r="F52" i="47"/>
  <c r="F46" i="45"/>
  <c r="F40" i="45"/>
  <c r="F41" i="45" s="1"/>
  <c r="F37" i="45"/>
  <c r="F17" i="45"/>
  <c r="F13" i="45"/>
  <c r="C48" i="45" l="1"/>
  <c r="C53" i="45" s="1"/>
  <c r="F29" i="45"/>
  <c r="F41" i="54"/>
  <c r="F33" i="54"/>
  <c r="F37" i="54"/>
  <c r="F27" i="54"/>
  <c r="F47" i="54" s="1"/>
  <c r="F22" i="54"/>
  <c r="F29" i="54" s="1"/>
  <c r="F17" i="54"/>
  <c r="F13" i="54"/>
  <c r="C48" i="54" l="1"/>
  <c r="C53" i="54" s="1"/>
  <c r="F34" i="54"/>
  <c r="F51" i="54"/>
  <c r="F52" i="54"/>
  <c r="F50" i="54"/>
  <c r="F41" i="37"/>
  <c r="F37" i="37"/>
  <c r="F22" i="37"/>
  <c r="F17" i="37"/>
  <c r="F13" i="37"/>
  <c r="F29" i="37" l="1"/>
  <c r="C24" i="37"/>
  <c r="C48" i="37"/>
  <c r="C53" i="37" s="1"/>
  <c r="F46" i="25"/>
  <c r="F40" i="25"/>
  <c r="F41" i="25" s="1"/>
  <c r="F37" i="25"/>
  <c r="F22" i="25"/>
  <c r="F17" i="25"/>
  <c r="F13" i="25"/>
  <c r="F29" i="25" l="1"/>
  <c r="C24" i="25"/>
  <c r="C48" i="25"/>
  <c r="C53" i="25" s="1"/>
  <c r="C25" i="37"/>
  <c r="C27" i="37" s="1"/>
  <c r="C47" i="37" s="1"/>
  <c r="F41" i="75"/>
  <c r="F37" i="75"/>
  <c r="F22" i="75"/>
  <c r="F17" i="75"/>
  <c r="F13" i="75"/>
  <c r="C25" i="25" l="1"/>
  <c r="C27" i="25" s="1"/>
  <c r="C47" i="25" s="1"/>
  <c r="C55" i="37"/>
  <c r="C51" i="37"/>
  <c r="C52" i="37"/>
  <c r="C50" i="37"/>
  <c r="C24" i="75"/>
  <c r="C48" i="75"/>
  <c r="C53" i="75" s="1"/>
  <c r="F29" i="75"/>
  <c r="F41" i="41"/>
  <c r="F37" i="41"/>
  <c r="F22" i="41"/>
  <c r="F17" i="41"/>
  <c r="F13" i="41"/>
  <c r="F46" i="41"/>
  <c r="C51" i="25" l="1"/>
  <c r="C50" i="25"/>
  <c r="C52" i="25"/>
  <c r="C24" i="41"/>
  <c r="C27" i="41" s="1"/>
  <c r="C47" i="41" s="1"/>
  <c r="C48" i="41"/>
  <c r="C53" i="41" s="1"/>
  <c r="C25" i="75"/>
  <c r="C27" i="75" s="1"/>
  <c r="C47" i="75" s="1"/>
  <c r="F29" i="41"/>
  <c r="F34" i="41" s="1"/>
  <c r="E55" i="40"/>
  <c r="E46" i="40"/>
  <c r="E41" i="40"/>
  <c r="E37" i="40"/>
  <c r="E22" i="40"/>
  <c r="E17" i="40"/>
  <c r="E13" i="40"/>
  <c r="C50" i="41" l="1"/>
  <c r="C55" i="41"/>
  <c r="C51" i="41"/>
  <c r="C52" i="41"/>
  <c r="C50" i="75"/>
  <c r="C55" i="75"/>
  <c r="C51" i="75"/>
  <c r="C52" i="75"/>
  <c r="E29" i="40"/>
  <c r="E34" i="40" s="1"/>
  <c r="F40" i="50"/>
  <c r="F41" i="50" s="1"/>
  <c r="F37" i="50"/>
  <c r="F22" i="50"/>
  <c r="F17" i="50"/>
  <c r="F13" i="50"/>
  <c r="C48" i="50" l="1"/>
  <c r="C53" i="50" s="1"/>
  <c r="C24" i="50"/>
  <c r="C27" i="50" s="1"/>
  <c r="C47" i="50" s="1"/>
  <c r="F29" i="50"/>
  <c r="E46" i="27"/>
  <c r="E41" i="27"/>
  <c r="E51" i="27" s="1"/>
  <c r="E37" i="27"/>
  <c r="E29" i="27"/>
  <c r="E24" i="27"/>
  <c r="E27" i="27" s="1"/>
  <c r="E47" i="27" s="1"/>
  <c r="E55" i="27" s="1"/>
  <c r="E16" i="27"/>
  <c r="E17" i="27"/>
  <c r="E13" i="27"/>
  <c r="C55" i="50" l="1"/>
  <c r="C50" i="50"/>
  <c r="C51" i="50"/>
  <c r="C52" i="50"/>
  <c r="E52" i="27"/>
  <c r="E50" i="27"/>
  <c r="C46" i="64"/>
  <c r="C41" i="64"/>
  <c r="C40" i="64"/>
  <c r="C37" i="64"/>
  <c r="C33" i="64"/>
  <c r="C29" i="64"/>
  <c r="C24" i="64"/>
  <c r="C25" i="64" s="1"/>
  <c r="C21" i="64"/>
  <c r="C17" i="64"/>
  <c r="C13" i="64"/>
  <c r="C27" i="64" l="1"/>
  <c r="C47" i="64" s="1"/>
  <c r="C34" i="64"/>
  <c r="C52" i="64"/>
  <c r="E40" i="39"/>
  <c r="E41" i="39"/>
  <c r="E37" i="39"/>
  <c r="E33" i="39"/>
  <c r="E22" i="39"/>
  <c r="E17" i="39"/>
  <c r="E13" i="39"/>
  <c r="C55" i="64" l="1"/>
  <c r="C50" i="64"/>
  <c r="E29" i="39"/>
  <c r="C51" i="64"/>
  <c r="F42" i="43"/>
  <c r="F40" i="43"/>
  <c r="F41" i="43" s="1"/>
  <c r="F37" i="43"/>
  <c r="F33" i="43"/>
  <c r="F34" i="43" s="1"/>
  <c r="F29" i="43"/>
  <c r="F21" i="43"/>
  <c r="F17" i="43"/>
  <c r="F13" i="43"/>
  <c r="C48" i="43" l="1"/>
  <c r="C53" i="43" s="1"/>
  <c r="F46" i="69"/>
  <c r="F40" i="69"/>
  <c r="F41" i="69" s="1"/>
  <c r="F37" i="69"/>
  <c r="C48" i="69" s="1"/>
  <c r="C53" i="69" s="1"/>
  <c r="F22" i="69"/>
  <c r="C24" i="69" s="1"/>
  <c r="C27" i="69" s="1"/>
  <c r="C47" i="69" s="1"/>
  <c r="F17" i="69"/>
  <c r="F13" i="69"/>
  <c r="C52" i="69" l="1"/>
  <c r="C55" i="69"/>
  <c r="C51" i="69"/>
  <c r="C50" i="69"/>
  <c r="F29" i="69"/>
  <c r="F41" i="23"/>
  <c r="F30" i="23"/>
  <c r="E30" i="23" s="1"/>
  <c r="F31" i="23"/>
  <c r="E31" i="23" s="1"/>
  <c r="F35" i="23"/>
  <c r="E35" i="23" s="1"/>
  <c r="D35" i="23" s="1"/>
  <c r="F36" i="23"/>
  <c r="E36" i="23" s="1"/>
  <c r="D36" i="23" s="1"/>
  <c r="F13" i="23"/>
  <c r="F22" i="23"/>
  <c r="F17" i="23"/>
  <c r="F42" i="23"/>
  <c r="C24" i="23" l="1"/>
  <c r="C27" i="23" s="1"/>
  <c r="C47" i="23" s="1"/>
  <c r="D37" i="23"/>
  <c r="E37" i="23"/>
  <c r="F29" i="23"/>
  <c r="F37" i="23"/>
  <c r="F42" i="73"/>
  <c r="F40" i="73"/>
  <c r="F39" i="73"/>
  <c r="F41" i="73" s="1"/>
  <c r="F27" i="73"/>
  <c r="F47" i="73" s="1"/>
  <c r="F13" i="73"/>
  <c r="C48" i="23" l="1"/>
  <c r="C53" i="23" s="1"/>
  <c r="C50" i="23"/>
  <c r="C55" i="23"/>
  <c r="C51" i="23"/>
  <c r="C52" i="23"/>
  <c r="F55" i="73"/>
  <c r="F50" i="73"/>
  <c r="F51" i="73"/>
  <c r="F52" i="73"/>
  <c r="E46" i="19" l="1"/>
  <c r="D46" i="19" s="1"/>
  <c r="E37" i="19"/>
  <c r="E13" i="19"/>
  <c r="E24" i="19"/>
  <c r="E22" i="19"/>
  <c r="E17" i="19"/>
  <c r="E29" i="19"/>
  <c r="E26" i="19"/>
  <c r="E27" i="19" s="1"/>
  <c r="E47" i="19" s="1"/>
  <c r="E41" i="19"/>
  <c r="E51" i="19" l="1"/>
  <c r="E50" i="19"/>
  <c r="E55" i="19"/>
  <c r="E52" i="19"/>
  <c r="E46" i="70"/>
  <c r="E41" i="70"/>
  <c r="E37" i="70"/>
  <c r="E22" i="70"/>
  <c r="E17" i="70"/>
  <c r="E53" i="70" l="1"/>
  <c r="E29" i="70"/>
  <c r="G46" i="62"/>
  <c r="G40" i="62"/>
  <c r="G41" i="62" s="1"/>
  <c r="G37" i="62"/>
  <c r="G27" i="62"/>
  <c r="G47" i="62" s="1"/>
  <c r="G50" i="62" s="1"/>
  <c r="G22" i="62"/>
  <c r="G29" i="62" s="1"/>
  <c r="G34" i="62" s="1"/>
  <c r="G17" i="62"/>
  <c r="G52" i="62" l="1"/>
  <c r="G51" i="62"/>
  <c r="G55" i="62"/>
  <c r="G32" i="73"/>
  <c r="F32" i="73" s="1"/>
  <c r="E32" i="73" s="1"/>
  <c r="K32" i="73"/>
  <c r="J32" i="73" s="1"/>
  <c r="I32" i="73" s="1"/>
  <c r="G31" i="73"/>
  <c r="F31" i="73" s="1"/>
  <c r="E31" i="73" s="1"/>
  <c r="G30" i="73"/>
  <c r="F30" i="73" s="1"/>
  <c r="E30" i="73" s="1"/>
  <c r="K31" i="73"/>
  <c r="J31" i="73" s="1"/>
  <c r="I31" i="73" s="1"/>
  <c r="K30" i="73"/>
  <c r="J30" i="73" s="1"/>
  <c r="I30" i="73" s="1"/>
  <c r="G39" i="73"/>
  <c r="G40" i="73"/>
  <c r="G42" i="73"/>
  <c r="G36" i="73"/>
  <c r="F36" i="73" s="1"/>
  <c r="E36" i="73" s="1"/>
  <c r="G35" i="73"/>
  <c r="K35" i="73"/>
  <c r="J35" i="73" s="1"/>
  <c r="I35" i="73" s="1"/>
  <c r="K36" i="73"/>
  <c r="G13" i="73"/>
  <c r="F35" i="73" l="1"/>
  <c r="E35" i="73" s="1"/>
  <c r="E37" i="73" s="1"/>
  <c r="K37" i="73"/>
  <c r="J36" i="73"/>
  <c r="I36" i="73" s="1"/>
  <c r="I37" i="73" s="1"/>
  <c r="G37" i="73"/>
  <c r="E40" i="5"/>
  <c r="E41" i="5" s="1"/>
  <c r="E37" i="5"/>
  <c r="E46" i="5"/>
  <c r="E22" i="5"/>
  <c r="E17" i="5"/>
  <c r="E13" i="5"/>
  <c r="E29" i="5" l="1"/>
  <c r="E34" i="5" s="1"/>
  <c r="J37" i="73"/>
  <c r="F37" i="73"/>
  <c r="F42" i="76"/>
  <c r="F46" i="76"/>
  <c r="E46" i="76" s="1"/>
  <c r="D46" i="76" s="1"/>
  <c r="G27" i="76"/>
  <c r="G47" i="76" s="1"/>
  <c r="F41" i="76"/>
  <c r="J32" i="76"/>
  <c r="I32" i="76" s="1"/>
  <c r="H32" i="76" s="1"/>
  <c r="F32" i="76"/>
  <c r="E32" i="76" s="1"/>
  <c r="D32" i="76" s="1"/>
  <c r="F37" i="76"/>
  <c r="F22" i="76"/>
  <c r="F29" i="76" s="1"/>
  <c r="F17" i="76"/>
  <c r="F13" i="76"/>
  <c r="H29" i="29" l="1"/>
  <c r="G29" i="29"/>
  <c r="I32" i="15" l="1"/>
  <c r="E32" i="15"/>
  <c r="D32" i="15" s="1"/>
  <c r="E37" i="15"/>
  <c r="E22" i="15"/>
  <c r="E29" i="15" s="1"/>
  <c r="E17" i="15"/>
  <c r="E40" i="15"/>
  <c r="E41" i="15" s="1"/>
  <c r="E13" i="15"/>
  <c r="D46" i="24" l="1"/>
  <c r="E46" i="24"/>
  <c r="E12" i="24"/>
  <c r="D40" i="24"/>
  <c r="D39" i="24"/>
  <c r="D41" i="24" s="1"/>
  <c r="D37" i="24"/>
  <c r="E37" i="24"/>
  <c r="D22" i="24"/>
  <c r="D17" i="24"/>
  <c r="E22" i="24"/>
  <c r="E29" i="24" s="1"/>
  <c r="E17" i="24"/>
  <c r="D13" i="24"/>
  <c r="B48" i="24" l="1"/>
  <c r="B53" i="24" s="1"/>
  <c r="D29" i="24"/>
  <c r="B24" i="24"/>
  <c r="B46" i="24"/>
  <c r="C46" i="24"/>
  <c r="B55" i="78"/>
  <c r="B52" i="78"/>
  <c r="B51" i="78"/>
  <c r="B50" i="78"/>
  <c r="B41" i="78"/>
  <c r="B53" i="78" s="1"/>
  <c r="B37" i="78"/>
  <c r="B22" i="78"/>
  <c r="B29" i="78" s="1"/>
  <c r="B17" i="78"/>
  <c r="B13" i="78"/>
  <c r="B25" i="24" l="1"/>
  <c r="B27" i="24"/>
  <c r="B47" i="24" s="1"/>
  <c r="B52" i="24" l="1"/>
  <c r="B51" i="24"/>
  <c r="B50" i="24"/>
  <c r="F32" i="63"/>
  <c r="F41" i="63"/>
  <c r="F53" i="63" s="1"/>
  <c r="F37" i="63"/>
  <c r="F22" i="63"/>
  <c r="F17" i="63"/>
  <c r="F13" i="63"/>
  <c r="F29" i="63" l="1"/>
  <c r="F46" i="70"/>
  <c r="F41" i="70"/>
  <c r="I22" i="70"/>
  <c r="H22" i="70"/>
  <c r="G22" i="70"/>
  <c r="G29" i="70" s="1"/>
  <c r="G17" i="70"/>
  <c r="H10" i="70"/>
  <c r="F37" i="70"/>
  <c r="F22" i="70"/>
  <c r="F17" i="70"/>
  <c r="G37" i="70"/>
  <c r="F29" i="70" l="1"/>
  <c r="E24" i="70"/>
  <c r="E27" i="70" s="1"/>
  <c r="E47" i="70" s="1"/>
  <c r="F53" i="70"/>
  <c r="F24" i="70"/>
  <c r="H40" i="62"/>
  <c r="H41" i="62" s="1"/>
  <c r="H53" i="62" s="1"/>
  <c r="H48" i="62"/>
  <c r="E50" i="70" l="1"/>
  <c r="E51" i="70"/>
  <c r="E55" i="70"/>
  <c r="E52" i="70"/>
  <c r="F25" i="70"/>
  <c r="F27" i="70" s="1"/>
  <c r="F47" i="70" s="1"/>
  <c r="F46" i="5"/>
  <c r="F41" i="5"/>
  <c r="F37" i="5"/>
  <c r="F22" i="5"/>
  <c r="F17" i="5"/>
  <c r="F13" i="5"/>
  <c r="F50" i="70" l="1"/>
  <c r="F55" i="70"/>
  <c r="F51" i="70"/>
  <c r="F52" i="70"/>
  <c r="F29" i="5"/>
  <c r="F34" i="5" s="1"/>
  <c r="G30" i="11"/>
  <c r="F30" i="11" s="1"/>
  <c r="G32" i="11"/>
  <c r="F32" i="11" s="1"/>
  <c r="E32" i="11" s="1"/>
  <c r="D32" i="11" s="1"/>
  <c r="G17" i="11"/>
  <c r="G20" i="11"/>
  <c r="G33" i="11" s="1"/>
  <c r="G41" i="11"/>
  <c r="G37" i="11"/>
  <c r="D48" i="11" s="1"/>
  <c r="D53" i="11" s="1"/>
  <c r="G29" i="11"/>
  <c r="G13" i="11"/>
  <c r="E30" i="11" l="1"/>
  <c r="F34" i="11"/>
  <c r="G34" i="11"/>
  <c r="B39" i="65"/>
  <c r="B37" i="65"/>
  <c r="B29" i="65"/>
  <c r="B13" i="65"/>
  <c r="C22" i="65"/>
  <c r="B24" i="65" s="1"/>
  <c r="B27" i="65" s="1"/>
  <c r="B47" i="65" s="1"/>
  <c r="B46" i="65"/>
  <c r="E34" i="11" l="1"/>
  <c r="D30" i="11"/>
  <c r="D34" i="11" s="1"/>
  <c r="C24" i="65"/>
  <c r="D40" i="71"/>
  <c r="D41" i="71" s="1"/>
  <c r="D22" i="71"/>
  <c r="D17" i="71"/>
  <c r="D29" i="71" l="1"/>
  <c r="D24" i="71"/>
  <c r="D27" i="71" s="1"/>
  <c r="D47" i="71" s="1"/>
  <c r="D55" i="71" s="1"/>
  <c r="C24" i="71"/>
  <c r="C27" i="71" s="1"/>
  <c r="C47" i="71" s="1"/>
  <c r="B24" i="71"/>
  <c r="B27" i="71" s="1"/>
  <c r="B47" i="71" s="1"/>
  <c r="D50" i="71"/>
  <c r="D51" i="71"/>
  <c r="D52" i="71"/>
  <c r="G46" i="61"/>
  <c r="G41" i="61"/>
  <c r="G37" i="61"/>
  <c r="D48" i="61" s="1"/>
  <c r="D53" i="61" s="1"/>
  <c r="H37" i="61"/>
  <c r="G22" i="61"/>
  <c r="D24" i="61" s="1"/>
  <c r="G17" i="61"/>
  <c r="H22" i="61"/>
  <c r="H29" i="61" s="1"/>
  <c r="H17" i="61"/>
  <c r="D25" i="61" l="1"/>
  <c r="D27" i="61"/>
  <c r="D47" i="61" s="1"/>
  <c r="C55" i="71"/>
  <c r="C51" i="71"/>
  <c r="C52" i="71"/>
  <c r="C50" i="71"/>
  <c r="E24" i="61"/>
  <c r="B55" i="71"/>
  <c r="B52" i="71"/>
  <c r="B50" i="71"/>
  <c r="B51" i="71"/>
  <c r="E48" i="61"/>
  <c r="E53" i="61" s="1"/>
  <c r="G29" i="61"/>
  <c r="H24" i="21"/>
  <c r="J32" i="21"/>
  <c r="D50" i="61" l="1"/>
  <c r="D55" i="61"/>
  <c r="D51" i="61"/>
  <c r="D52" i="61"/>
  <c r="E25" i="61"/>
  <c r="E27" i="61" s="1"/>
  <c r="E47" i="61" s="1"/>
  <c r="G41" i="37"/>
  <c r="G37" i="37"/>
  <c r="D48" i="37" s="1"/>
  <c r="D53" i="37" s="1"/>
  <c r="G22" i="37"/>
  <c r="D24" i="37" s="1"/>
  <c r="D25" i="37" s="1"/>
  <c r="D27" i="37" s="1"/>
  <c r="D47" i="37" s="1"/>
  <c r="G17" i="37"/>
  <c r="G13" i="37"/>
  <c r="D55" i="37" l="1"/>
  <c r="D50" i="37"/>
  <c r="D51" i="37"/>
  <c r="D52" i="37"/>
  <c r="E50" i="61"/>
  <c r="E55" i="61"/>
  <c r="E52" i="61"/>
  <c r="E51" i="61"/>
  <c r="G29" i="37"/>
  <c r="G41" i="6"/>
  <c r="F35" i="6"/>
  <c r="F37" i="6" s="1"/>
  <c r="G22" i="6"/>
  <c r="G17" i="6"/>
  <c r="G13" i="6"/>
  <c r="G46" i="6"/>
  <c r="G29" i="6" l="1"/>
  <c r="D24" i="6"/>
  <c r="C48" i="6"/>
  <c r="C53" i="6" s="1"/>
  <c r="G37" i="6"/>
  <c r="D48" i="6" s="1"/>
  <c r="D53" i="6" s="1"/>
  <c r="B46" i="53"/>
  <c r="B40" i="53"/>
  <c r="B41" i="53" s="1"/>
  <c r="B37" i="53"/>
  <c r="B33" i="53"/>
  <c r="B34" i="53" s="1"/>
  <c r="C37" i="53"/>
  <c r="B29" i="53"/>
  <c r="B24" i="53"/>
  <c r="B25" i="53" s="1"/>
  <c r="B27" i="53" s="1"/>
  <c r="B47" i="53" s="1"/>
  <c r="B55" i="53" s="1"/>
  <c r="B21" i="53"/>
  <c r="B17" i="53"/>
  <c r="B13" i="53"/>
  <c r="D26" i="6" l="1"/>
  <c r="D27" i="6"/>
  <c r="D47" i="6" s="1"/>
  <c r="B52" i="53"/>
  <c r="B51" i="53"/>
  <c r="B50" i="53"/>
  <c r="D55" i="6" l="1"/>
  <c r="D52" i="6"/>
  <c r="D51" i="6"/>
  <c r="D50" i="6"/>
  <c r="C41" i="9"/>
  <c r="G35" i="9"/>
  <c r="C32" i="9"/>
  <c r="C37" i="9"/>
  <c r="C35" i="9"/>
  <c r="C22" i="9"/>
  <c r="C17" i="9"/>
  <c r="C55" i="9"/>
  <c r="C47" i="9"/>
  <c r="C52" i="9" s="1"/>
  <c r="C29" i="9"/>
  <c r="C13" i="9"/>
  <c r="C50" i="9" l="1"/>
  <c r="C51" i="9"/>
  <c r="F41" i="77"/>
  <c r="F37" i="77"/>
  <c r="H24" i="77"/>
  <c r="H27" i="77" s="1"/>
  <c r="G24" i="77"/>
  <c r="F22" i="77"/>
  <c r="F29" i="77" s="1"/>
  <c r="G27" i="77"/>
  <c r="G46" i="12" l="1"/>
  <c r="F46" i="12" s="1"/>
  <c r="E46" i="12" s="1"/>
  <c r="D46" i="12" s="1"/>
  <c r="C46" i="12" s="1"/>
  <c r="G55" i="12"/>
  <c r="G40" i="12"/>
  <c r="G41" i="12"/>
  <c r="G27" i="12"/>
  <c r="G47" i="12" s="1"/>
  <c r="G51" i="12" l="1"/>
  <c r="G50" i="12"/>
  <c r="G52" i="12"/>
  <c r="G37" i="12"/>
  <c r="G22" i="12"/>
  <c r="G17" i="12"/>
  <c r="G13" i="12"/>
  <c r="G29" i="12" l="1"/>
  <c r="D24" i="12"/>
  <c r="D27" i="12" s="1"/>
  <c r="D47" i="12" s="1"/>
  <c r="D16" i="36"/>
  <c r="D22" i="36" s="1"/>
  <c r="D29" i="36" s="1"/>
  <c r="D17" i="36"/>
  <c r="D21" i="36"/>
  <c r="D33" i="36"/>
  <c r="D37" i="36"/>
  <c r="E41" i="36"/>
  <c r="E40" i="36"/>
  <c r="D40" i="36"/>
  <c r="D41" i="36" s="1"/>
  <c r="D13" i="36"/>
  <c r="D52" i="12" l="1"/>
  <c r="D50" i="12"/>
  <c r="D51" i="12"/>
  <c r="D34" i="36"/>
  <c r="E46" i="59"/>
  <c r="F46" i="59"/>
  <c r="E41" i="59"/>
  <c r="E37" i="59"/>
  <c r="F37" i="59"/>
  <c r="E29" i="59"/>
  <c r="E17" i="59"/>
  <c r="E21" i="59"/>
  <c r="E33" i="59" s="1"/>
  <c r="E13" i="59"/>
  <c r="F13" i="59"/>
  <c r="E34" i="59" l="1"/>
  <c r="E40" i="34"/>
  <c r="E41" i="34" s="1"/>
  <c r="E39" i="34"/>
  <c r="E32" i="34" l="1"/>
  <c r="D32" i="34" s="1"/>
  <c r="C32" i="34" s="1"/>
  <c r="E37" i="34"/>
  <c r="E22" i="34"/>
  <c r="E17" i="34"/>
  <c r="E13" i="34"/>
  <c r="E55" i="34"/>
  <c r="E29" i="34" l="1"/>
  <c r="G40" i="7"/>
  <c r="F40" i="7" l="1"/>
  <c r="F41" i="7"/>
  <c r="F22" i="7"/>
  <c r="F17" i="7"/>
  <c r="F37" i="7"/>
  <c r="F13" i="7"/>
  <c r="F29" i="7" l="1"/>
  <c r="F42" i="72"/>
  <c r="F40" i="72"/>
  <c r="F41" i="72" s="1"/>
  <c r="G41" i="72"/>
  <c r="G40" i="72"/>
  <c r="F22" i="72"/>
  <c r="F17" i="72"/>
  <c r="F37" i="72"/>
  <c r="F46" i="72"/>
  <c r="F13" i="72"/>
  <c r="F29" i="72" l="1"/>
  <c r="B42" i="56"/>
  <c r="B40" i="56"/>
  <c r="B41" i="56" s="1"/>
  <c r="B20" i="56"/>
  <c r="F16" i="56"/>
  <c r="F20" i="56"/>
  <c r="B16" i="56"/>
  <c r="B22" i="56" s="1"/>
  <c r="B32" i="56"/>
  <c r="B33" i="56"/>
  <c r="B37" i="56"/>
  <c r="B13" i="56"/>
  <c r="B17" i="56" l="1"/>
  <c r="B29" i="56"/>
  <c r="B34" i="56"/>
  <c r="F42" i="3"/>
  <c r="F40" i="3"/>
  <c r="F41" i="3" s="1"/>
  <c r="F21" i="3"/>
  <c r="F32" i="3"/>
  <c r="E32" i="3" s="1"/>
  <c r="E34" i="3" s="1"/>
  <c r="F37" i="3"/>
  <c r="F29" i="3"/>
  <c r="F13" i="3"/>
  <c r="G42" i="68" l="1"/>
  <c r="G40" i="68"/>
  <c r="G41" i="68" s="1"/>
  <c r="J22" i="68"/>
  <c r="J29" i="68" s="1"/>
  <c r="J17" i="68"/>
  <c r="K22" i="68"/>
  <c r="K29" i="68" s="1"/>
  <c r="K17" i="68"/>
  <c r="G22" i="68"/>
  <c r="D24" i="68" s="1"/>
  <c r="D27" i="68" s="1"/>
  <c r="D47" i="68" s="1"/>
  <c r="G17" i="68"/>
  <c r="G32" i="68"/>
  <c r="F32" i="68" s="1"/>
  <c r="E32" i="68" s="1"/>
  <c r="D32" i="68" s="1"/>
  <c r="K32" i="68"/>
  <c r="J32" i="68" s="1"/>
  <c r="I32" i="68" s="1"/>
  <c r="H32" i="68" s="1"/>
  <c r="K37" i="68"/>
  <c r="G37" i="68"/>
  <c r="G13" i="68"/>
  <c r="D55" i="68" l="1"/>
  <c r="D52" i="68"/>
  <c r="D50" i="68"/>
  <c r="D51" i="68"/>
  <c r="D48" i="68"/>
  <c r="G29" i="68"/>
  <c r="G42" i="8"/>
  <c r="G41" i="8"/>
  <c r="G32" i="8"/>
  <c r="F32" i="8" s="1"/>
  <c r="E32" i="8" s="1"/>
  <c r="D32" i="8" s="1"/>
  <c r="G37" i="8"/>
  <c r="D48" i="8" s="1"/>
  <c r="D53" i="8" s="1"/>
  <c r="G13" i="8"/>
  <c r="G22" i="8"/>
  <c r="D24" i="8" s="1"/>
  <c r="D27" i="8" s="1"/>
  <c r="D47" i="8" s="1"/>
  <c r="G17" i="8"/>
  <c r="D55" i="8" l="1"/>
  <c r="D52" i="8"/>
  <c r="D50" i="8"/>
  <c r="D51" i="8"/>
  <c r="G29" i="8"/>
  <c r="F42" i="16"/>
  <c r="F40" i="16"/>
  <c r="F41" i="16" s="1"/>
  <c r="E16" i="16"/>
  <c r="J16" i="16"/>
  <c r="I16" i="16" s="1"/>
  <c r="H16" i="16" s="1"/>
  <c r="F31" i="16"/>
  <c r="E31" i="16" s="1"/>
  <c r="D31" i="16" s="1"/>
  <c r="F32" i="16"/>
  <c r="E32" i="16" s="1"/>
  <c r="D32" i="16" s="1"/>
  <c r="F37" i="16"/>
  <c r="F17" i="16"/>
  <c r="F13" i="16"/>
  <c r="F22" i="16" l="1"/>
  <c r="F29" i="16" s="1"/>
  <c r="D16" i="16"/>
  <c r="C16" i="16" s="1"/>
  <c r="E17" i="16"/>
  <c r="E22" i="16"/>
  <c r="E29" i="16" s="1"/>
  <c r="G42" i="23"/>
  <c r="L40" i="23"/>
  <c r="L41" i="23" s="1"/>
  <c r="O41" i="23"/>
  <c r="N41" i="23"/>
  <c r="M41" i="23"/>
  <c r="K41" i="23"/>
  <c r="J41" i="23"/>
  <c r="I41" i="23"/>
  <c r="H41" i="23"/>
  <c r="G41" i="23"/>
  <c r="G32" i="23"/>
  <c r="F32" i="23" s="1"/>
  <c r="G37" i="23"/>
  <c r="D48" i="23" s="1"/>
  <c r="D53" i="23" s="1"/>
  <c r="G22" i="23"/>
  <c r="D24" i="23" s="1"/>
  <c r="D27" i="23" s="1"/>
  <c r="D47" i="23" s="1"/>
  <c r="G17" i="23"/>
  <c r="G13" i="23"/>
  <c r="D50" i="23" l="1"/>
  <c r="D51" i="23"/>
  <c r="D52" i="23"/>
  <c r="D55" i="23"/>
  <c r="C22" i="16"/>
  <c r="C17" i="16"/>
  <c r="G29" i="23"/>
  <c r="G34" i="23" s="1"/>
  <c r="E32" i="23"/>
  <c r="F34" i="23"/>
  <c r="D22" i="16"/>
  <c r="D29" i="16" s="1"/>
  <c r="D17" i="16"/>
  <c r="G42" i="44"/>
  <c r="G17" i="44"/>
  <c r="G22" i="44"/>
  <c r="D24" i="44" s="1"/>
  <c r="D27" i="44" s="1"/>
  <c r="D47" i="44" s="1"/>
  <c r="G32" i="44"/>
  <c r="F32" i="44" s="1"/>
  <c r="E32" i="44" s="1"/>
  <c r="G37" i="44"/>
  <c r="D48" i="44" s="1"/>
  <c r="D53" i="44" s="1"/>
  <c r="G13" i="44"/>
  <c r="D55" i="44" l="1"/>
  <c r="D50" i="44"/>
  <c r="D52" i="44"/>
  <c r="D51" i="44"/>
  <c r="E34" i="23"/>
  <c r="D32" i="23"/>
  <c r="D34" i="23" s="1"/>
  <c r="C29" i="16"/>
  <c r="B24" i="16"/>
  <c r="B27" i="16" s="1"/>
  <c r="B47" i="16" s="1"/>
  <c r="C24" i="16"/>
  <c r="C27" i="16" s="1"/>
  <c r="C47" i="16" s="1"/>
  <c r="G29" i="44"/>
  <c r="G46" i="30"/>
  <c r="G40" i="30"/>
  <c r="G41" i="30" s="1"/>
  <c r="G37" i="30"/>
  <c r="D48" i="30" s="1"/>
  <c r="D53" i="30" s="1"/>
  <c r="G22" i="30"/>
  <c r="D24" i="30" s="1"/>
  <c r="D27" i="30" s="1"/>
  <c r="D47" i="30" s="1"/>
  <c r="G17" i="30"/>
  <c r="G13" i="30"/>
  <c r="D50" i="30" l="1"/>
  <c r="D52" i="30"/>
  <c r="D51" i="30"/>
  <c r="C55" i="16"/>
  <c r="C52" i="16"/>
  <c r="C50" i="16"/>
  <c r="C51" i="16"/>
  <c r="B55" i="16"/>
  <c r="B52" i="16"/>
  <c r="B51" i="16"/>
  <c r="B50" i="16"/>
  <c r="G29" i="30"/>
  <c r="G46" i="75"/>
  <c r="F46" i="75" s="1"/>
  <c r="E46" i="75" s="1"/>
  <c r="D46" i="75" s="1"/>
  <c r="C46" i="75" s="1"/>
  <c r="G41" i="75"/>
  <c r="G37" i="75"/>
  <c r="D48" i="75" s="1"/>
  <c r="D53" i="75" s="1"/>
  <c r="H37" i="75"/>
  <c r="G27" i="75"/>
  <c r="G47" i="75" s="1"/>
  <c r="H27" i="75"/>
  <c r="H47" i="75" s="1"/>
  <c r="G22" i="75"/>
  <c r="D24" i="75" s="1"/>
  <c r="G17" i="75"/>
  <c r="H22" i="75"/>
  <c r="H29" i="75" s="1"/>
  <c r="H17" i="75"/>
  <c r="G13" i="75"/>
  <c r="H13" i="75"/>
  <c r="D25" i="75" l="1"/>
  <c r="D27" i="75" s="1"/>
  <c r="D47" i="75" s="1"/>
  <c r="E24" i="75"/>
  <c r="G29" i="75"/>
  <c r="E48" i="75"/>
  <c r="E53" i="75" s="1"/>
  <c r="G52" i="75"/>
  <c r="G55" i="75"/>
  <c r="G51" i="75"/>
  <c r="G50" i="75"/>
  <c r="G37" i="60"/>
  <c r="C41" i="60"/>
  <c r="C37" i="60"/>
  <c r="C22" i="60"/>
  <c r="C29" i="60" s="1"/>
  <c r="C17" i="60"/>
  <c r="C13" i="60"/>
  <c r="C46" i="60"/>
  <c r="D50" i="75" l="1"/>
  <c r="D52" i="75"/>
  <c r="D55" i="75"/>
  <c r="D51" i="75"/>
  <c r="E25" i="75"/>
  <c r="E27" i="75" s="1"/>
  <c r="E47" i="75" s="1"/>
  <c r="G46" i="25"/>
  <c r="G41" i="25"/>
  <c r="G37" i="25"/>
  <c r="D48" i="25" s="1"/>
  <c r="D53" i="25" s="1"/>
  <c r="G22" i="25"/>
  <c r="D24" i="25" s="1"/>
  <c r="G17" i="25"/>
  <c r="G13" i="25"/>
  <c r="D25" i="25" l="1"/>
  <c r="D27" i="25" s="1"/>
  <c r="D47" i="25" s="1"/>
  <c r="E55" i="75"/>
  <c r="E52" i="75"/>
  <c r="E51" i="75"/>
  <c r="E50" i="75"/>
  <c r="G29" i="25"/>
  <c r="G55" i="13"/>
  <c r="G47" i="13"/>
  <c r="G50" i="13" s="1"/>
  <c r="G41" i="13"/>
  <c r="G37" i="13"/>
  <c r="D48" i="13" s="1"/>
  <c r="D53" i="13" s="1"/>
  <c r="G33" i="13"/>
  <c r="G29" i="13"/>
  <c r="G16" i="13"/>
  <c r="G17" i="13" s="1"/>
  <c r="G24" i="13"/>
  <c r="G25" i="13" s="1"/>
  <c r="G13" i="13"/>
  <c r="D50" i="25" l="1"/>
  <c r="D51" i="25"/>
  <c r="D52" i="25"/>
  <c r="G51" i="13"/>
  <c r="G34" i="13"/>
  <c r="G52" i="13"/>
  <c r="G46" i="49"/>
  <c r="G41" i="49"/>
  <c r="G33" i="49"/>
  <c r="G37" i="49"/>
  <c r="G22" i="49"/>
  <c r="D24" i="49" s="1"/>
  <c r="G17" i="49"/>
  <c r="G13" i="49"/>
  <c r="D25" i="49" l="1"/>
  <c r="D27" i="49" s="1"/>
  <c r="D47" i="49" s="1"/>
  <c r="G29" i="49"/>
  <c r="G34" i="49" s="1"/>
  <c r="G46" i="54"/>
  <c r="F46" i="54" s="1"/>
  <c r="E46" i="54" s="1"/>
  <c r="D46" i="54" s="1"/>
  <c r="C46" i="54" s="1"/>
  <c r="G27" i="54"/>
  <c r="G47" i="54" s="1"/>
  <c r="H27" i="54"/>
  <c r="H47" i="54"/>
  <c r="G41" i="54"/>
  <c r="H41" i="54"/>
  <c r="H29" i="54"/>
  <c r="G37" i="54"/>
  <c r="D48" i="54" s="1"/>
  <c r="D53" i="54" s="1"/>
  <c r="H37" i="54"/>
  <c r="G33" i="54"/>
  <c r="G22" i="54"/>
  <c r="G29" i="54" s="1"/>
  <c r="G17" i="54"/>
  <c r="G13" i="54"/>
  <c r="D55" i="49" l="1"/>
  <c r="D51" i="49"/>
  <c r="D50" i="49"/>
  <c r="D52" i="49"/>
  <c r="G52" i="54"/>
  <c r="G50" i="54"/>
  <c r="G34" i="54"/>
  <c r="E48" i="54"/>
  <c r="E53" i="54" s="1"/>
  <c r="G51" i="54"/>
  <c r="C40" i="65"/>
  <c r="B40" i="65" s="1"/>
  <c r="B41" i="65" l="1"/>
  <c r="B50" i="65"/>
  <c r="C41" i="65"/>
  <c r="E40" i="65"/>
  <c r="C16" i="65"/>
  <c r="C21" i="65" s="1"/>
  <c r="C46" i="65"/>
  <c r="C17" i="65"/>
  <c r="B55" i="65" l="1"/>
  <c r="B51" i="65"/>
  <c r="B52" i="65"/>
  <c r="C29" i="65"/>
  <c r="C37" i="65"/>
  <c r="C13" i="65"/>
  <c r="C27" i="65" l="1"/>
  <c r="C47" i="65" s="1"/>
  <c r="C55" i="65" s="1"/>
  <c r="H41" i="11"/>
  <c r="C50" i="65" l="1"/>
  <c r="C52" i="65"/>
  <c r="C51" i="65"/>
  <c r="H40" i="47"/>
  <c r="H41" i="47" s="1"/>
  <c r="H33" i="47"/>
  <c r="H37" i="47"/>
  <c r="G37" i="47"/>
  <c r="H36" i="47"/>
  <c r="H35" i="47"/>
  <c r="H31" i="47"/>
  <c r="H30" i="47"/>
  <c r="H29" i="47"/>
  <c r="G29" i="47"/>
  <c r="G32" i="47"/>
  <c r="K32" i="47"/>
  <c r="H32" i="47" s="1"/>
  <c r="G33" i="47"/>
  <c r="G40" i="47"/>
  <c r="G41" i="47" s="1"/>
  <c r="G24" i="47"/>
  <c r="H24" i="47"/>
  <c r="H25" i="47" s="1"/>
  <c r="M16" i="47"/>
  <c r="M17" i="47" s="1"/>
  <c r="L16" i="47"/>
  <c r="K16" i="47"/>
  <c r="K17" i="47" s="1"/>
  <c r="J17" i="47"/>
  <c r="I16" i="47"/>
  <c r="I17" i="47" s="1"/>
  <c r="H16" i="47"/>
  <c r="H17" i="47" s="1"/>
  <c r="G16" i="47"/>
  <c r="G17" i="47" s="1"/>
  <c r="G25" i="47"/>
  <c r="G27" i="47" s="1"/>
  <c r="G47" i="47" s="1"/>
  <c r="G55" i="47" s="1"/>
  <c r="G13" i="47"/>
  <c r="L12" i="47"/>
  <c r="H13" i="47" s="1"/>
  <c r="H12" i="47"/>
  <c r="D13" i="47" s="1"/>
  <c r="L17" i="47" l="1"/>
  <c r="H27" i="47"/>
  <c r="H47" i="47" s="1"/>
  <c r="H51" i="47" s="1"/>
  <c r="G34" i="47"/>
  <c r="D32" i="47"/>
  <c r="D34" i="47" s="1"/>
  <c r="H55" i="47"/>
  <c r="H34" i="47"/>
  <c r="G52" i="47"/>
  <c r="G51" i="47"/>
  <c r="G50" i="47"/>
  <c r="G41" i="20"/>
  <c r="H41" i="20"/>
  <c r="G46" i="20"/>
  <c r="H46" i="20"/>
  <c r="L37" i="20"/>
  <c r="H37" i="20"/>
  <c r="G37" i="20"/>
  <c r="G22" i="20"/>
  <c r="D24" i="20" s="1"/>
  <c r="G17" i="20"/>
  <c r="H22" i="20"/>
  <c r="H29" i="20" s="1"/>
  <c r="H17" i="20"/>
  <c r="G13" i="20"/>
  <c r="H13" i="20"/>
  <c r="D26" i="20" l="1"/>
  <c r="D27" i="20" s="1"/>
  <c r="D47" i="20" s="1"/>
  <c r="G29" i="20"/>
  <c r="H50" i="47"/>
  <c r="H52" i="47"/>
  <c r="E24" i="20"/>
  <c r="E26" i="20" s="1"/>
  <c r="E27" i="20" s="1"/>
  <c r="E47" i="20" s="1"/>
  <c r="F37" i="38"/>
  <c r="F46" i="38"/>
  <c r="F40" i="38"/>
  <c r="F41" i="38"/>
  <c r="F22" i="38"/>
  <c r="F17" i="38"/>
  <c r="F13" i="38"/>
  <c r="D55" i="20" l="1"/>
  <c r="D50" i="20"/>
  <c r="D51" i="20"/>
  <c r="D52" i="20"/>
  <c r="E50" i="20"/>
  <c r="E55" i="20"/>
  <c r="E52" i="20"/>
  <c r="E51" i="20"/>
  <c r="F29" i="38"/>
  <c r="G46" i="41"/>
  <c r="G41" i="41"/>
  <c r="G37" i="41"/>
  <c r="D48" i="41" s="1"/>
  <c r="D53" i="41" s="1"/>
  <c r="G22" i="41"/>
  <c r="D24" i="41" s="1"/>
  <c r="D27" i="41" s="1"/>
  <c r="D47" i="41" s="1"/>
  <c r="G17" i="41"/>
  <c r="G13" i="41"/>
  <c r="D50" i="41" l="1"/>
  <c r="D55" i="41"/>
  <c r="D52" i="41"/>
  <c r="D51" i="41"/>
  <c r="G29" i="41"/>
  <c r="G34" i="41" s="1"/>
  <c r="G42" i="43"/>
  <c r="G40" i="43"/>
  <c r="G41" i="43" s="1"/>
  <c r="G37" i="43"/>
  <c r="D48" i="43" s="1"/>
  <c r="D53" i="43" s="1"/>
  <c r="G29" i="43"/>
  <c r="G21" i="43"/>
  <c r="G33" i="43" s="1"/>
  <c r="G34" i="43" s="1"/>
  <c r="G17" i="43"/>
  <c r="G13" i="43"/>
  <c r="D46" i="64" l="1"/>
  <c r="D40" i="64"/>
  <c r="D41" i="64"/>
  <c r="D33" i="64"/>
  <c r="D34" i="64"/>
  <c r="D37" i="64"/>
  <c r="D29" i="64"/>
  <c r="D24" i="64"/>
  <c r="D17" i="64"/>
  <c r="D21" i="64"/>
  <c r="D13" i="64"/>
  <c r="D25" i="64" l="1"/>
  <c r="D27" i="64" s="1"/>
  <c r="D47" i="64" s="1"/>
  <c r="F40" i="39"/>
  <c r="F41" i="39" s="1"/>
  <c r="F37" i="39"/>
  <c r="F33" i="39"/>
  <c r="F22" i="39"/>
  <c r="F17" i="39"/>
  <c r="F13" i="39"/>
  <c r="D55" i="64" l="1"/>
  <c r="D51" i="64"/>
  <c r="D50" i="64"/>
  <c r="D52" i="64"/>
  <c r="F29" i="39"/>
  <c r="G46" i="69"/>
  <c r="G40" i="69"/>
  <c r="G41" i="69" s="1"/>
  <c r="G37" i="69"/>
  <c r="G22" i="69"/>
  <c r="G17" i="69"/>
  <c r="G13" i="69"/>
  <c r="G29" i="69" l="1"/>
  <c r="D24" i="69"/>
  <c r="D27" i="69" s="1"/>
  <c r="D47" i="69" s="1"/>
  <c r="D48" i="69"/>
  <c r="D53" i="69" s="1"/>
  <c r="B21" i="35"/>
  <c r="B33" i="35" s="1"/>
  <c r="B34" i="35" s="1"/>
  <c r="B17" i="35"/>
  <c r="B41" i="35"/>
  <c r="B37" i="35"/>
  <c r="B29" i="35"/>
  <c r="B13" i="35"/>
  <c r="D55" i="69" l="1"/>
  <c r="D50" i="69"/>
  <c r="D51" i="69"/>
  <c r="D52" i="69"/>
  <c r="G40" i="50"/>
  <c r="G41" i="50"/>
  <c r="G37" i="50"/>
  <c r="D48" i="50" s="1"/>
  <c r="D53" i="50" s="1"/>
  <c r="G29" i="50"/>
  <c r="G17" i="50"/>
  <c r="G22" i="50"/>
  <c r="D24" i="50" s="1"/>
  <c r="D27" i="50" s="1"/>
  <c r="D47" i="50" s="1"/>
  <c r="G13" i="50"/>
  <c r="D50" i="50" l="1"/>
  <c r="D55" i="50"/>
  <c r="D52" i="50"/>
  <c r="D51" i="50"/>
  <c r="F40" i="66"/>
  <c r="F41" i="66" s="1"/>
  <c r="F29" i="66"/>
  <c r="F27" i="66"/>
  <c r="F47" i="66" s="1"/>
  <c r="F55" i="66" l="1"/>
  <c r="F50" i="66"/>
  <c r="F51" i="66"/>
  <c r="F52" i="66"/>
  <c r="F24" i="19"/>
  <c r="F26" i="19" s="1"/>
  <c r="F27" i="19" s="1"/>
  <c r="F47" i="19" s="1"/>
  <c r="F22" i="19"/>
  <c r="F17" i="19"/>
  <c r="F41" i="19"/>
  <c r="F29" i="19"/>
  <c r="F36" i="19"/>
  <c r="F13" i="19"/>
  <c r="F55" i="19" l="1"/>
  <c r="F51" i="19"/>
  <c r="F52" i="19"/>
  <c r="F50" i="19"/>
  <c r="F46" i="28"/>
  <c r="F41" i="28"/>
  <c r="F37" i="28"/>
  <c r="F33" i="28"/>
  <c r="F17" i="28"/>
  <c r="F22" i="28"/>
  <c r="C24" i="28" s="1"/>
  <c r="C27" i="28" s="1"/>
  <c r="C47" i="28" s="1"/>
  <c r="F13" i="28"/>
  <c r="C55" i="28" l="1"/>
  <c r="C52" i="28"/>
  <c r="C51" i="28"/>
  <c r="C50" i="28"/>
  <c r="F29" i="28"/>
  <c r="F34" i="28"/>
  <c r="H36" i="45"/>
  <c r="H35" i="45"/>
  <c r="H37" i="45" s="1"/>
  <c r="G32" i="45"/>
  <c r="K40" i="45"/>
  <c r="J40" i="45"/>
  <c r="I40" i="45"/>
  <c r="H40" i="45"/>
  <c r="H41" i="45" s="1"/>
  <c r="G40" i="45"/>
  <c r="G41" i="45"/>
  <c r="G46" i="45"/>
  <c r="H46" i="45"/>
  <c r="G37" i="45"/>
  <c r="D48" i="45" s="1"/>
  <c r="D53" i="45" s="1"/>
  <c r="L35" i="45"/>
  <c r="L36" i="45"/>
  <c r="G22" i="45"/>
  <c r="D24" i="45" s="1"/>
  <c r="G17" i="45"/>
  <c r="H22" i="45"/>
  <c r="H29" i="45" s="1"/>
  <c r="H17" i="45"/>
  <c r="G13" i="45"/>
  <c r="D27" i="45" l="1"/>
  <c r="D47" i="45" s="1"/>
  <c r="D25" i="45"/>
  <c r="E24" i="45"/>
  <c r="E25" i="45" s="1"/>
  <c r="E48" i="45"/>
  <c r="E53" i="45" s="1"/>
  <c r="G29" i="45"/>
  <c r="F55" i="40"/>
  <c r="F46" i="40"/>
  <c r="G55" i="40"/>
  <c r="G46" i="40"/>
  <c r="F41" i="40"/>
  <c r="G41" i="40"/>
  <c r="F37" i="40"/>
  <c r="G37" i="40"/>
  <c r="F29" i="40"/>
  <c r="F34" i="40" s="1"/>
  <c r="F22" i="40"/>
  <c r="F17" i="40"/>
  <c r="G22" i="40"/>
  <c r="G17" i="40"/>
  <c r="F13" i="40"/>
  <c r="D52" i="45" l="1"/>
  <c r="D51" i="45"/>
  <c r="D50" i="45"/>
  <c r="D55" i="45"/>
  <c r="D24" i="40"/>
  <c r="D48" i="40"/>
  <c r="D53" i="40" s="1"/>
  <c r="G29" i="40"/>
  <c r="G34" i="40" s="1"/>
  <c r="E27" i="45"/>
  <c r="E47" i="45" s="1"/>
  <c r="F41" i="27"/>
  <c r="G41" i="27"/>
  <c r="F16" i="27"/>
  <c r="F17" i="27" s="1"/>
  <c r="G16" i="27"/>
  <c r="G17" i="27"/>
  <c r="F46" i="27"/>
  <c r="G46" i="27"/>
  <c r="J32" i="27"/>
  <c r="F37" i="27"/>
  <c r="G37" i="27"/>
  <c r="F29" i="27"/>
  <c r="F24" i="27"/>
  <c r="F27" i="27" s="1"/>
  <c r="F47" i="27" s="1"/>
  <c r="G29" i="27"/>
  <c r="G24" i="27"/>
  <c r="G27" i="27" s="1"/>
  <c r="G47" i="27" s="1"/>
  <c r="F13" i="27"/>
  <c r="G13" i="27"/>
  <c r="F52" i="27" l="1"/>
  <c r="F50" i="27"/>
  <c r="F55" i="27"/>
  <c r="G52" i="27"/>
  <c r="G50" i="27"/>
  <c r="E55" i="45"/>
  <c r="E51" i="45"/>
  <c r="E50" i="45"/>
  <c r="E52" i="45"/>
  <c r="G55" i="27"/>
  <c r="F51" i="27"/>
  <c r="G51" i="27"/>
  <c r="D25" i="40"/>
  <c r="D27" i="40"/>
  <c r="D47" i="40" s="1"/>
  <c r="H46" i="25"/>
  <c r="H41" i="25"/>
  <c r="H37" i="25"/>
  <c r="H22" i="25"/>
  <c r="H17" i="25"/>
  <c r="H29" i="25" l="1"/>
  <c r="E24" i="25"/>
  <c r="D52" i="40"/>
  <c r="D50" i="40"/>
  <c r="D51" i="40"/>
  <c r="E48" i="25"/>
  <c r="E53" i="25" s="1"/>
  <c r="L37" i="49"/>
  <c r="H46" i="49"/>
  <c r="H41" i="49"/>
  <c r="H37" i="49"/>
  <c r="H33" i="49"/>
  <c r="H22" i="49"/>
  <c r="H17" i="49"/>
  <c r="H29" i="49" l="1"/>
  <c r="H34" i="49" s="1"/>
  <c r="E24" i="49"/>
  <c r="E25" i="25"/>
  <c r="E27" i="25" s="1"/>
  <c r="E47" i="25" s="1"/>
  <c r="K13" i="71"/>
  <c r="J35" i="71"/>
  <c r="J36" i="71"/>
  <c r="J32" i="71"/>
  <c r="J31" i="71"/>
  <c r="J30" i="71"/>
  <c r="J40" i="71"/>
  <c r="J41" i="71" s="1"/>
  <c r="J16" i="71"/>
  <c r="J12" i="71"/>
  <c r="J46" i="71" s="1"/>
  <c r="D46" i="71" s="1"/>
  <c r="C46" i="71" s="1"/>
  <c r="B46" i="71" s="1"/>
  <c r="E52" i="25" l="1"/>
  <c r="E50" i="25"/>
  <c r="E51" i="25"/>
  <c r="E25" i="49"/>
  <c r="E27" i="49" s="1"/>
  <c r="E47" i="49" s="1"/>
  <c r="J17" i="71"/>
  <c r="J13" i="71"/>
  <c r="J37" i="71"/>
  <c r="J22" i="71"/>
  <c r="E52" i="49" l="1"/>
  <c r="E50" i="49"/>
  <c r="E55" i="49"/>
  <c r="E51" i="49"/>
  <c r="J29" i="71"/>
  <c r="H50" i="54" l="1"/>
  <c r="H51" i="54"/>
  <c r="H52" i="54"/>
  <c r="H41" i="61"/>
  <c r="H48" i="61"/>
  <c r="H53" i="61" l="1"/>
  <c r="H50" i="75"/>
  <c r="H41" i="75"/>
  <c r="H55" i="75" s="1"/>
  <c r="H52" i="75" l="1"/>
  <c r="H51" i="75"/>
  <c r="H37" i="37"/>
  <c r="H41" i="37"/>
  <c r="H22" i="37"/>
  <c r="H12" i="37"/>
  <c r="H17" i="37" l="1"/>
  <c r="E46" i="37"/>
  <c r="G46" i="37"/>
  <c r="H46" i="37"/>
  <c r="F46" i="37"/>
  <c r="D13" i="37"/>
  <c r="E48" i="37"/>
  <c r="E53" i="37" s="1"/>
  <c r="E24" i="37"/>
  <c r="H13" i="37"/>
  <c r="H29" i="37"/>
  <c r="E25" i="37" l="1"/>
  <c r="E27" i="37"/>
  <c r="E44" i="24"/>
  <c r="E47" i="37" l="1"/>
  <c r="F40" i="34"/>
  <c r="F41" i="34" s="1"/>
  <c r="F22" i="34"/>
  <c r="F55" i="34"/>
  <c r="E55" i="37" l="1"/>
  <c r="E52" i="37"/>
  <c r="E50" i="37"/>
  <c r="E51" i="37"/>
  <c r="F29" i="34"/>
  <c r="C24" i="34"/>
  <c r="C27" i="34" s="1"/>
  <c r="C47" i="34" s="1"/>
  <c r="G41" i="21"/>
  <c r="G25" i="21"/>
  <c r="F25" i="21" s="1"/>
  <c r="G17" i="21"/>
  <c r="G13" i="21"/>
  <c r="G37" i="21"/>
  <c r="C52" i="34" l="1"/>
  <c r="C50" i="34"/>
  <c r="C51" i="34"/>
  <c r="D48" i="21"/>
  <c r="D53" i="21" s="1"/>
  <c r="D24" i="21"/>
  <c r="D26" i="21" s="1"/>
  <c r="D27" i="21" s="1"/>
  <c r="D47" i="21" s="1"/>
  <c r="E24" i="21"/>
  <c r="E26" i="21" s="1"/>
  <c r="E27" i="21" s="1"/>
  <c r="E47" i="21" s="1"/>
  <c r="G24" i="21"/>
  <c r="G26" i="21" s="1"/>
  <c r="G27" i="21" s="1"/>
  <c r="G47" i="21" s="1"/>
  <c r="F24" i="21"/>
  <c r="H41" i="6"/>
  <c r="H37" i="6"/>
  <c r="E48" i="6" s="1"/>
  <c r="E53" i="6" s="1"/>
  <c r="H22" i="6"/>
  <c r="H17" i="6"/>
  <c r="H29" i="6" l="1"/>
  <c r="E24" i="6"/>
  <c r="E26" i="6" s="1"/>
  <c r="E27" i="6" s="1"/>
  <c r="E47" i="6" s="1"/>
  <c r="E52" i="21"/>
  <c r="E55" i="21"/>
  <c r="E51" i="21"/>
  <c r="E50" i="21"/>
  <c r="D55" i="21"/>
  <c r="D52" i="21"/>
  <c r="D51" i="21"/>
  <c r="D50" i="21"/>
  <c r="F26" i="21"/>
  <c r="F27" i="21" s="1"/>
  <c r="F47" i="21" s="1"/>
  <c r="G50" i="21"/>
  <c r="G55" i="21"/>
  <c r="G52" i="21"/>
  <c r="G51" i="21"/>
  <c r="H46" i="6"/>
  <c r="E55" i="6" l="1"/>
  <c r="E51" i="6"/>
  <c r="E52" i="6"/>
  <c r="E50" i="6"/>
  <c r="F52" i="21"/>
  <c r="F50" i="21"/>
  <c r="F51" i="21"/>
  <c r="F55" i="21"/>
  <c r="C40" i="53"/>
  <c r="C41" i="53" s="1"/>
  <c r="C29" i="53"/>
  <c r="C24" i="53"/>
  <c r="C25" i="53" s="1"/>
  <c r="C21" i="53"/>
  <c r="C33" i="53" s="1"/>
  <c r="C17" i="53"/>
  <c r="C13" i="53"/>
  <c r="C34" i="53" l="1"/>
  <c r="C27" i="53"/>
  <c r="C47" i="53"/>
  <c r="C50" i="53" s="1"/>
  <c r="C46" i="53"/>
  <c r="C55" i="53" l="1"/>
  <c r="C51" i="53"/>
  <c r="C52" i="53"/>
  <c r="H41" i="41"/>
  <c r="H37" i="41"/>
  <c r="H22" i="41"/>
  <c r="E24" i="41" s="1"/>
  <c r="E27" i="41" s="1"/>
  <c r="E47" i="41" s="1"/>
  <c r="H17" i="41"/>
  <c r="H13" i="41"/>
  <c r="H46" i="41"/>
  <c r="E55" i="41" l="1"/>
  <c r="E51" i="41"/>
  <c r="E50" i="41"/>
  <c r="E52" i="41"/>
  <c r="E48" i="41"/>
  <c r="E53" i="41" s="1"/>
  <c r="H29" i="41"/>
  <c r="H34" i="41" s="1"/>
  <c r="H21" i="13"/>
  <c r="H33" i="13" s="1"/>
  <c r="H40" i="13"/>
  <c r="H41" i="13" s="1"/>
  <c r="H12" i="13"/>
  <c r="D13" i="13" s="1"/>
  <c r="H24" i="13"/>
  <c r="H25" i="13" s="1"/>
  <c r="H32" i="13"/>
  <c r="L32" i="13"/>
  <c r="H29" i="13"/>
  <c r="H37" i="13"/>
  <c r="H55" i="13"/>
  <c r="H47" i="13"/>
  <c r="E48" i="13" l="1"/>
  <c r="E53" i="13" s="1"/>
  <c r="G46" i="13"/>
  <c r="E46" i="13"/>
  <c r="F46" i="13"/>
  <c r="H46" i="13"/>
  <c r="H34" i="13"/>
  <c r="H16" i="13"/>
  <c r="H17" i="13" s="1"/>
  <c r="H52" i="13"/>
  <c r="H50" i="13"/>
  <c r="H51" i="13"/>
  <c r="H31" i="43"/>
  <c r="H30" i="43"/>
  <c r="H16" i="43"/>
  <c r="L16" i="43"/>
  <c r="H22" i="43"/>
  <c r="L22" i="43"/>
  <c r="H40" i="43"/>
  <c r="H41" i="43" s="1"/>
  <c r="H32" i="43"/>
  <c r="H24" i="43"/>
  <c r="H27" i="43" s="1"/>
  <c r="H47" i="43" s="1"/>
  <c r="H35" i="43"/>
  <c r="H36" i="43"/>
  <c r="H42" i="43"/>
  <c r="H12" i="43"/>
  <c r="E46" i="43" l="1"/>
  <c r="D13" i="43"/>
  <c r="H29" i="43"/>
  <c r="E24" i="43"/>
  <c r="E27" i="43" s="1"/>
  <c r="E47" i="43" s="1"/>
  <c r="F24" i="43"/>
  <c r="F27" i="43" s="1"/>
  <c r="F47" i="43" s="1"/>
  <c r="G24" i="43"/>
  <c r="G27" i="43" s="1"/>
  <c r="G47" i="43" s="1"/>
  <c r="H37" i="43"/>
  <c r="H46" i="43"/>
  <c r="F46" i="43"/>
  <c r="G46" i="43"/>
  <c r="H13" i="43"/>
  <c r="H21" i="43"/>
  <c r="H33" i="43" s="1"/>
  <c r="H34" i="43" s="1"/>
  <c r="H17" i="43"/>
  <c r="H50" i="43"/>
  <c r="H55" i="43"/>
  <c r="H51" i="43"/>
  <c r="H52" i="43"/>
  <c r="H21" i="50"/>
  <c r="H16" i="50"/>
  <c r="L21" i="50"/>
  <c r="L16" i="50"/>
  <c r="H40" i="50"/>
  <c r="H41" i="50" s="1"/>
  <c r="H32" i="50"/>
  <c r="H36" i="50"/>
  <c r="H35" i="50"/>
  <c r="H37" i="50" s="1"/>
  <c r="H12" i="50"/>
  <c r="D13" i="50" s="1"/>
  <c r="G55" i="43" l="1"/>
  <c r="G51" i="43"/>
  <c r="G52" i="43"/>
  <c r="G50" i="43"/>
  <c r="F55" i="43"/>
  <c r="F51" i="43"/>
  <c r="F52" i="43"/>
  <c r="F50" i="43"/>
  <c r="E55" i="43"/>
  <c r="E51" i="43"/>
  <c r="E50" i="43"/>
  <c r="E52" i="43"/>
  <c r="H46" i="50"/>
  <c r="E46" i="50"/>
  <c r="F46" i="50"/>
  <c r="G46" i="50"/>
  <c r="E48" i="50"/>
  <c r="E53" i="50" s="1"/>
  <c r="E48" i="43"/>
  <c r="E53" i="43" s="1"/>
  <c r="H22" i="50"/>
  <c r="H29" i="50"/>
  <c r="H13" i="50"/>
  <c r="H17" i="50"/>
  <c r="H55" i="12"/>
  <c r="H40" i="12"/>
  <c r="H50" i="12" s="1"/>
  <c r="E24" i="50" l="1"/>
  <c r="E27" i="50" s="1"/>
  <c r="E47" i="50" s="1"/>
  <c r="H41" i="12"/>
  <c r="H53" i="12" s="1"/>
  <c r="H52" i="12" l="1"/>
  <c r="E55" i="50"/>
  <c r="E50" i="50"/>
  <c r="E52" i="50"/>
  <c r="E51" i="50"/>
  <c r="H51" i="12"/>
  <c r="G40" i="76"/>
  <c r="G41" i="76" s="1"/>
  <c r="G50" i="76"/>
  <c r="G51" i="76" l="1"/>
  <c r="G55" i="76"/>
  <c r="G52" i="76"/>
  <c r="G53" i="76"/>
  <c r="G50" i="77"/>
  <c r="G41" i="77"/>
  <c r="G55" i="77" s="1"/>
  <c r="G52" i="77" l="1"/>
  <c r="G51" i="77"/>
  <c r="G53" i="77"/>
  <c r="F17" i="59"/>
  <c r="F41" i="59" l="1"/>
  <c r="G40" i="74"/>
  <c r="G50" i="74" s="1"/>
  <c r="G41" i="74" l="1"/>
  <c r="C12" i="35"/>
  <c r="B46" i="35" s="1"/>
  <c r="G55" i="74" l="1"/>
  <c r="G53" i="74"/>
  <c r="G52" i="74"/>
  <c r="G51" i="74"/>
  <c r="C16" i="35"/>
  <c r="C17" i="35" s="1"/>
  <c r="C20" i="35"/>
  <c r="C13" i="35"/>
  <c r="C40" i="35"/>
  <c r="C41" i="35" s="1"/>
  <c r="C32" i="35"/>
  <c r="C36" i="35"/>
  <c r="C35" i="35"/>
  <c r="C37" i="35" s="1"/>
  <c r="G35" i="35"/>
  <c r="G36" i="35"/>
  <c r="C29" i="35"/>
  <c r="C31" i="35"/>
  <c r="C30" i="35"/>
  <c r="C21" i="35" l="1"/>
  <c r="C33" i="35" s="1"/>
  <c r="C34" i="35"/>
  <c r="C46" i="35" l="1"/>
  <c r="D46" i="60" l="1"/>
  <c r="D41" i="60"/>
  <c r="D37" i="60"/>
  <c r="D29" i="60"/>
  <c r="D17" i="60"/>
  <c r="D22" i="60"/>
  <c r="D13" i="60"/>
  <c r="E12" i="36" l="1"/>
  <c r="E46" i="36" l="1"/>
  <c r="B46" i="36"/>
  <c r="C46" i="36"/>
  <c r="D46" i="36"/>
  <c r="H37" i="30"/>
  <c r="H46" i="30"/>
  <c r="H40" i="30"/>
  <c r="H39" i="30"/>
  <c r="H22" i="30"/>
  <c r="E24" i="30" s="1"/>
  <c r="E25" i="30" s="1"/>
  <c r="E27" i="30" s="1"/>
  <c r="E47" i="30" s="1"/>
  <c r="H17" i="30"/>
  <c r="H13" i="30"/>
  <c r="E52" i="30" l="1"/>
  <c r="E50" i="30"/>
  <c r="E51" i="30"/>
  <c r="H29" i="30"/>
  <c r="E48" i="30"/>
  <c r="E53" i="30" s="1"/>
  <c r="H41" i="30"/>
  <c r="H41" i="69"/>
  <c r="H37" i="69"/>
  <c r="H22" i="69"/>
  <c r="H17" i="69"/>
  <c r="H13" i="69"/>
  <c r="H29" i="69" l="1"/>
  <c r="E24" i="69"/>
  <c r="E27" i="69" s="1"/>
  <c r="E47" i="69" s="1"/>
  <c r="E48" i="69"/>
  <c r="E53" i="69" s="1"/>
  <c r="H46" i="69"/>
  <c r="E55" i="69" l="1"/>
  <c r="E50" i="69"/>
  <c r="E51" i="69"/>
  <c r="E52" i="69"/>
  <c r="F40" i="15"/>
  <c r="F41" i="15" s="1"/>
  <c r="F37" i="15"/>
  <c r="F22" i="15"/>
  <c r="F17" i="15"/>
  <c r="F13" i="15"/>
  <c r="C48" i="15" l="1"/>
  <c r="F29" i="15"/>
  <c r="E40" i="64"/>
  <c r="E41" i="64"/>
  <c r="E37" i="64"/>
  <c r="E29" i="64"/>
  <c r="E24" i="64"/>
  <c r="E21" i="64"/>
  <c r="E33" i="64" s="1"/>
  <c r="E34" i="64" s="1"/>
  <c r="E17" i="64"/>
  <c r="E13" i="64"/>
  <c r="E46" i="64"/>
  <c r="B48" i="64" l="1"/>
  <c r="B53" i="64" s="1"/>
  <c r="E25" i="64"/>
  <c r="E27" i="64" s="1"/>
  <c r="E47" i="64" s="1"/>
  <c r="H40" i="44"/>
  <c r="H42" i="44"/>
  <c r="H21" i="44"/>
  <c r="E52" i="64" l="1"/>
  <c r="E50" i="64"/>
  <c r="E51" i="64"/>
  <c r="E55" i="64"/>
  <c r="H41" i="44"/>
  <c r="E40" i="44"/>
  <c r="E41" i="44" s="1"/>
  <c r="F40" i="44"/>
  <c r="F41" i="44" s="1"/>
  <c r="G40" i="44"/>
  <c r="G41" i="44" s="1"/>
  <c r="E46" i="44"/>
  <c r="F46" i="44"/>
  <c r="G46" i="44"/>
  <c r="H46" i="44"/>
  <c r="D12" i="9" l="1"/>
  <c r="C46" i="9" s="1"/>
  <c r="H12" i="9"/>
  <c r="D55" i="9"/>
  <c r="D47" i="9"/>
  <c r="D46" i="9"/>
  <c r="D41" i="9"/>
  <c r="D13" i="9" l="1"/>
  <c r="D52" i="9"/>
  <c r="D50" i="9"/>
  <c r="D51" i="9"/>
  <c r="G40" i="39"/>
  <c r="G41" i="39"/>
  <c r="G37" i="39"/>
  <c r="G33" i="39"/>
  <c r="H33" i="39"/>
  <c r="G22" i="39"/>
  <c r="G17" i="39"/>
  <c r="G13" i="39"/>
  <c r="D48" i="39" l="1"/>
  <c r="D53" i="39" s="1"/>
  <c r="G29" i="39"/>
  <c r="D24" i="39"/>
  <c r="G40" i="38"/>
  <c r="G41" i="38" s="1"/>
  <c r="G22" i="38"/>
  <c r="G17" i="38"/>
  <c r="G13" i="38"/>
  <c r="G46" i="38"/>
  <c r="D25" i="39" l="1"/>
  <c r="D27" i="39"/>
  <c r="D47" i="39" s="1"/>
  <c r="G29" i="38"/>
  <c r="G37" i="38" s="1"/>
  <c r="D48" i="38" s="1"/>
  <c r="D53" i="38" s="1"/>
  <c r="D24" i="38"/>
  <c r="D27" i="38" s="1"/>
  <c r="D47" i="38" s="1"/>
  <c r="L35" i="68"/>
  <c r="L36" i="68"/>
  <c r="H37" i="68"/>
  <c r="H42" i="68"/>
  <c r="H48" i="68" l="1"/>
  <c r="G48" i="68"/>
  <c r="E48" i="68"/>
  <c r="F48" i="68"/>
  <c r="D50" i="38"/>
  <c r="D55" i="38"/>
  <c r="D52" i="38"/>
  <c r="D51" i="38"/>
  <c r="D55" i="39"/>
  <c r="D50" i="39"/>
  <c r="D51" i="39"/>
  <c r="D52" i="39"/>
  <c r="L37" i="68"/>
  <c r="I48" i="68" s="1"/>
  <c r="H40" i="68"/>
  <c r="H41" i="68" s="1"/>
  <c r="M22" i="68"/>
  <c r="M17" i="68"/>
  <c r="L22" i="68"/>
  <c r="L17" i="68"/>
  <c r="H22" i="68"/>
  <c r="H17" i="68"/>
  <c r="K13" i="68"/>
  <c r="J13" i="68"/>
  <c r="H13" i="68"/>
  <c r="G53" i="68" l="1"/>
  <c r="E24" i="68"/>
  <c r="E27" i="68" s="1"/>
  <c r="E47" i="68" s="1"/>
  <c r="H29" i="68"/>
  <c r="L29" i="68"/>
  <c r="J24" i="68"/>
  <c r="H42" i="73"/>
  <c r="H46" i="73"/>
  <c r="G46" i="73" s="1"/>
  <c r="F46" i="73" s="1"/>
  <c r="E46" i="73" s="1"/>
  <c r="D46" i="73" s="1"/>
  <c r="C46" i="73" s="1"/>
  <c r="H40" i="73"/>
  <c r="H37" i="73"/>
  <c r="H13" i="73"/>
  <c r="L22" i="73"/>
  <c r="K22" i="73"/>
  <c r="K29" i="73" s="1"/>
  <c r="J22" i="73"/>
  <c r="J29" i="73" s="1"/>
  <c r="I22" i="73"/>
  <c r="I29" i="73" s="1"/>
  <c r="H22" i="73"/>
  <c r="L17" i="73"/>
  <c r="K17" i="73"/>
  <c r="J17" i="73"/>
  <c r="H17" i="73"/>
  <c r="E50" i="68" l="1"/>
  <c r="E55" i="68"/>
  <c r="E51" i="68"/>
  <c r="E52" i="68"/>
  <c r="H29" i="73"/>
  <c r="H24" i="73"/>
  <c r="H27" i="73" s="1"/>
  <c r="H47" i="73" s="1"/>
  <c r="H50" i="73" s="1"/>
  <c r="F53" i="68"/>
  <c r="G41" i="7"/>
  <c r="K12" i="7"/>
  <c r="K35" i="7"/>
  <c r="K36" i="7"/>
  <c r="G22" i="7"/>
  <c r="D24" i="7" s="1"/>
  <c r="D27" i="7" s="1"/>
  <c r="D47" i="7" s="1"/>
  <c r="K16" i="7"/>
  <c r="G12" i="7"/>
  <c r="H55" i="73" l="1"/>
  <c r="H52" i="73"/>
  <c r="D55" i="7"/>
  <c r="D50" i="7"/>
  <c r="D51" i="7"/>
  <c r="D52" i="7"/>
  <c r="E46" i="7"/>
  <c r="D46" i="7"/>
  <c r="E53" i="68"/>
  <c r="D53" i="68"/>
  <c r="H51" i="73"/>
  <c r="G13" i="7"/>
  <c r="F46" i="7"/>
  <c r="G46" i="7"/>
  <c r="G37" i="7"/>
  <c r="D48" i="7" s="1"/>
  <c r="D53" i="7" s="1"/>
  <c r="G29" i="7"/>
  <c r="G17" i="7"/>
  <c r="G42" i="72"/>
  <c r="M36" i="72"/>
  <c r="L36" i="72" s="1"/>
  <c r="K36" i="72" s="1"/>
  <c r="M35" i="72"/>
  <c r="L35" i="72" s="1"/>
  <c r="K16" i="72"/>
  <c r="G46" i="72"/>
  <c r="K12" i="72"/>
  <c r="G22" i="72"/>
  <c r="D24" i="72" s="1"/>
  <c r="N37" i="72"/>
  <c r="J37" i="72"/>
  <c r="G29" i="72" l="1"/>
  <c r="G13" i="72"/>
  <c r="G17" i="72"/>
  <c r="H37" i="72"/>
  <c r="L37" i="72"/>
  <c r="K35" i="72"/>
  <c r="H46" i="72"/>
  <c r="G37" i="72"/>
  <c r="H12" i="23"/>
  <c r="D13" i="23" s="1"/>
  <c r="H42" i="23"/>
  <c r="I13" i="23"/>
  <c r="I17" i="23"/>
  <c r="I22" i="23"/>
  <c r="I29" i="23" s="1"/>
  <c r="I42" i="23"/>
  <c r="H46" i="23" l="1"/>
  <c r="E46" i="23"/>
  <c r="F46" i="23"/>
  <c r="G46" i="23"/>
  <c r="E48" i="72"/>
  <c r="E53" i="72" s="1"/>
  <c r="D48" i="72"/>
  <c r="D53" i="72" s="1"/>
  <c r="G19" i="3"/>
  <c r="F19" i="3" s="1"/>
  <c r="K19" i="3"/>
  <c r="G22" i="3"/>
  <c r="G40" i="3"/>
  <c r="G41" i="3" s="1"/>
  <c r="G12" i="3"/>
  <c r="G42" i="3"/>
  <c r="G46" i="3" l="1"/>
  <c r="E46" i="3"/>
  <c r="F46" i="3"/>
  <c r="F16" i="3"/>
  <c r="F17" i="3" s="1"/>
  <c r="F33" i="3"/>
  <c r="F34" i="3" s="1"/>
  <c r="G29" i="3"/>
  <c r="E24" i="3"/>
  <c r="E27" i="3" s="1"/>
  <c r="E47" i="3" s="1"/>
  <c r="F24" i="3"/>
  <c r="F27" i="3" s="1"/>
  <c r="F47" i="3" s="1"/>
  <c r="G24" i="3"/>
  <c r="G27" i="3" s="1"/>
  <c r="G47" i="3" s="1"/>
  <c r="G51" i="3" s="1"/>
  <c r="G55" i="3"/>
  <c r="G50" i="3"/>
  <c r="G42" i="16"/>
  <c r="G40" i="16"/>
  <c r="G41" i="16"/>
  <c r="G12" i="16"/>
  <c r="F55" i="3" l="1"/>
  <c r="F52" i="3"/>
  <c r="F51" i="3"/>
  <c r="F50" i="3"/>
  <c r="E50" i="3"/>
  <c r="E55" i="3"/>
  <c r="E51" i="3"/>
  <c r="E52" i="3"/>
  <c r="G46" i="16"/>
  <c r="D46" i="16"/>
  <c r="E46" i="16"/>
  <c r="F46" i="16"/>
  <c r="G52" i="3"/>
  <c r="C42" i="56"/>
  <c r="G19" i="56"/>
  <c r="C16" i="56"/>
  <c r="C17" i="56" s="1"/>
  <c r="C12" i="56"/>
  <c r="C40" i="56"/>
  <c r="C41" i="56" s="1"/>
  <c r="C33" i="56"/>
  <c r="C46" i="56" l="1"/>
  <c r="B46" i="56"/>
  <c r="C22" i="56"/>
  <c r="C29" i="56"/>
  <c r="H12" i="8"/>
  <c r="D13" i="8" s="1"/>
  <c r="H42" i="8"/>
  <c r="H41" i="8"/>
  <c r="H16" i="8"/>
  <c r="H22" i="8" s="1"/>
  <c r="H46" i="8" l="1"/>
  <c r="H29" i="8"/>
  <c r="E24" i="8"/>
  <c r="E27" i="8" s="1"/>
  <c r="E47" i="8" s="1"/>
  <c r="E46" i="8"/>
  <c r="F46" i="8"/>
  <c r="G46" i="8"/>
  <c r="H17" i="8"/>
  <c r="C41" i="78"/>
  <c r="C55" i="78" s="1"/>
  <c r="J55" i="78"/>
  <c r="I55" i="78"/>
  <c r="J37" i="78"/>
  <c r="I37" i="78"/>
  <c r="H37" i="78"/>
  <c r="G37" i="78"/>
  <c r="F37" i="78"/>
  <c r="E37" i="78"/>
  <c r="D37" i="78"/>
  <c r="C37" i="78"/>
  <c r="J22" i="78"/>
  <c r="J29" i="78" s="1"/>
  <c r="I22" i="78"/>
  <c r="I29" i="78" s="1"/>
  <c r="H22" i="78"/>
  <c r="H29" i="78" s="1"/>
  <c r="G22" i="78"/>
  <c r="F22" i="78"/>
  <c r="E22" i="78"/>
  <c r="E29" i="78" s="1"/>
  <c r="D22" i="78"/>
  <c r="D29" i="78" s="1"/>
  <c r="C22" i="78"/>
  <c r="B24" i="78" s="1"/>
  <c r="B27" i="78" s="1"/>
  <c r="J17" i="78"/>
  <c r="I17" i="78"/>
  <c r="H17" i="78"/>
  <c r="G17" i="78"/>
  <c r="F17" i="78"/>
  <c r="E17" i="78"/>
  <c r="D17" i="78"/>
  <c r="C17" i="78"/>
  <c r="F13" i="78"/>
  <c r="E13" i="78"/>
  <c r="D13" i="78"/>
  <c r="C13" i="78"/>
  <c r="D10" i="78"/>
  <c r="E10" i="78" s="1"/>
  <c r="F10" i="78" s="1"/>
  <c r="G10" i="78" s="1"/>
  <c r="H10" i="78" s="1"/>
  <c r="I10" i="78" s="1"/>
  <c r="J10" i="78" s="1"/>
  <c r="E52" i="8" l="1"/>
  <c r="E55" i="8"/>
  <c r="E51" i="8"/>
  <c r="E50" i="8"/>
  <c r="C53" i="78"/>
  <c r="F24" i="78"/>
  <c r="F27" i="78" s="1"/>
  <c r="G24" i="78"/>
  <c r="G27" i="78" s="1"/>
  <c r="C24" i="78"/>
  <c r="C27" i="78" s="1"/>
  <c r="C29" i="78"/>
  <c r="F29" i="78"/>
  <c r="G29" i="78"/>
  <c r="C52" i="78"/>
  <c r="C51" i="78"/>
  <c r="C50" i="78"/>
  <c r="D24" i="78"/>
  <c r="D27" i="78" s="1"/>
  <c r="E24" i="78"/>
  <c r="E27" i="78" s="1"/>
  <c r="H41" i="67"/>
  <c r="O9" i="2"/>
  <c r="C9" i="2"/>
  <c r="J9" i="2"/>
  <c r="E9" i="2"/>
  <c r="H46" i="67" l="1"/>
  <c r="H37" i="67"/>
  <c r="E48" i="67" s="1"/>
  <c r="E53" i="67" s="1"/>
  <c r="H22" i="67"/>
  <c r="H17" i="67"/>
  <c r="H13" i="67"/>
  <c r="F9" i="2"/>
  <c r="I9" i="2"/>
  <c r="H29" i="67" l="1"/>
  <c r="E24" i="67"/>
  <c r="E27" i="67" s="1"/>
  <c r="E47" i="67" s="1"/>
  <c r="E55" i="67" s="1"/>
  <c r="G46" i="28"/>
  <c r="G41" i="28"/>
  <c r="G37" i="28"/>
  <c r="G33" i="28"/>
  <c r="G22" i="28"/>
  <c r="H22" i="28"/>
  <c r="G17" i="28"/>
  <c r="G13" i="28"/>
  <c r="E52" i="67" l="1"/>
  <c r="E50" i="67"/>
  <c r="E51" i="67"/>
  <c r="D48" i="28"/>
  <c r="D53" i="28" s="1"/>
  <c r="G29" i="28"/>
  <c r="E24" i="28"/>
  <c r="E27" i="28" s="1"/>
  <c r="E47" i="28" s="1"/>
  <c r="D24" i="28"/>
  <c r="D27" i="28" s="1"/>
  <c r="D47" i="28" s="1"/>
  <c r="G34" i="28"/>
  <c r="H41" i="77"/>
  <c r="O55" i="77"/>
  <c r="H55" i="77"/>
  <c r="H53" i="77"/>
  <c r="I10" i="77"/>
  <c r="J10" i="77" s="1"/>
  <c r="K10" i="77" s="1"/>
  <c r="L10" i="77" s="1"/>
  <c r="M10" i="77" s="1"/>
  <c r="N10" i="77" s="1"/>
  <c r="O10" i="77" s="1"/>
  <c r="D55" i="28" l="1"/>
  <c r="D52" i="28"/>
  <c r="D50" i="28"/>
  <c r="D51" i="28"/>
  <c r="E55" i="28"/>
  <c r="E52" i="28"/>
  <c r="E51" i="28"/>
  <c r="E50" i="28"/>
  <c r="H52" i="77"/>
  <c r="H50" i="77"/>
  <c r="H51" i="77"/>
  <c r="H41" i="76"/>
  <c r="H55" i="76" s="1"/>
  <c r="J37" i="76"/>
  <c r="F48" i="76" s="1"/>
  <c r="J22" i="76"/>
  <c r="J17" i="76"/>
  <c r="I10" i="76"/>
  <c r="J10" i="76" s="1"/>
  <c r="O95" i="2"/>
  <c r="F53" i="76" l="1"/>
  <c r="E48" i="76"/>
  <c r="J29" i="76"/>
  <c r="F24" i="76"/>
  <c r="H53" i="76"/>
  <c r="H52" i="76"/>
  <c r="H51" i="76"/>
  <c r="H50" i="76"/>
  <c r="I41" i="75"/>
  <c r="O55" i="75"/>
  <c r="O37" i="75"/>
  <c r="N37" i="75"/>
  <c r="M37" i="75"/>
  <c r="L37" i="75"/>
  <c r="K37" i="75"/>
  <c r="J37" i="75"/>
  <c r="I37" i="75"/>
  <c r="O22" i="75"/>
  <c r="O29" i="75" s="1"/>
  <c r="N22" i="75"/>
  <c r="N29" i="75" s="1"/>
  <c r="M22" i="75"/>
  <c r="L22" i="75"/>
  <c r="K22" i="75"/>
  <c r="K29" i="75" s="1"/>
  <c r="J22" i="75"/>
  <c r="J29" i="75" s="1"/>
  <c r="I22" i="75"/>
  <c r="O17" i="75"/>
  <c r="N17" i="75"/>
  <c r="M17" i="75"/>
  <c r="L17" i="75"/>
  <c r="K17" i="75"/>
  <c r="J17" i="75"/>
  <c r="I17" i="75"/>
  <c r="K13" i="75"/>
  <c r="J13" i="75"/>
  <c r="I13" i="75"/>
  <c r="J10" i="75"/>
  <c r="K10" i="75" s="1"/>
  <c r="L10" i="75" s="1"/>
  <c r="M10" i="75" s="1"/>
  <c r="N10" i="75" s="1"/>
  <c r="O10" i="75" s="1"/>
  <c r="I85" i="2"/>
  <c r="I95" i="2"/>
  <c r="O85" i="2"/>
  <c r="E53" i="76" l="1"/>
  <c r="D48" i="76"/>
  <c r="D53" i="76" s="1"/>
  <c r="I29" i="75"/>
  <c r="F24" i="75"/>
  <c r="F27" i="75" s="1"/>
  <c r="F47" i="75" s="1"/>
  <c r="F27" i="76"/>
  <c r="F47" i="76" s="1"/>
  <c r="E24" i="76"/>
  <c r="I53" i="75"/>
  <c r="G48" i="75"/>
  <c r="G53" i="75" s="1"/>
  <c r="H48" i="75"/>
  <c r="H53" i="75" s="1"/>
  <c r="F48" i="75"/>
  <c r="F53" i="75" s="1"/>
  <c r="F50" i="76"/>
  <c r="F52" i="76"/>
  <c r="F51" i="76"/>
  <c r="F55" i="76"/>
  <c r="L27" i="75"/>
  <c r="I27" i="75"/>
  <c r="I47" i="75" s="1"/>
  <c r="I55" i="75" s="1"/>
  <c r="M29" i="75"/>
  <c r="I52" i="75"/>
  <c r="I50" i="75"/>
  <c r="J27" i="75"/>
  <c r="L29" i="75"/>
  <c r="K27" i="75"/>
  <c r="G37" i="5"/>
  <c r="G41" i="5"/>
  <c r="G13" i="5"/>
  <c r="G22" i="5"/>
  <c r="G17" i="5"/>
  <c r="G46" i="5"/>
  <c r="J16" i="2"/>
  <c r="O16" i="2"/>
  <c r="I51" i="75" l="1"/>
  <c r="D24" i="5"/>
  <c r="D27" i="5" s="1"/>
  <c r="D47" i="5" s="1"/>
  <c r="F55" i="75"/>
  <c r="F52" i="75"/>
  <c r="F50" i="75"/>
  <c r="F51" i="75"/>
  <c r="D24" i="76"/>
  <c r="D27" i="76" s="1"/>
  <c r="D47" i="76" s="1"/>
  <c r="E27" i="76"/>
  <c r="E47" i="76" s="1"/>
  <c r="D48" i="5"/>
  <c r="D53" i="5" s="1"/>
  <c r="G29" i="5"/>
  <c r="G34" i="5" s="1"/>
  <c r="H41" i="74"/>
  <c r="H55" i="74" s="1"/>
  <c r="J37" i="74"/>
  <c r="F48" i="74" s="1"/>
  <c r="I37" i="74"/>
  <c r="H53" i="74"/>
  <c r="J22" i="74"/>
  <c r="J29" i="74" s="1"/>
  <c r="J34" i="74" s="1"/>
  <c r="I29" i="74"/>
  <c r="I34" i="74" s="1"/>
  <c r="J17" i="74"/>
  <c r="I10" i="74"/>
  <c r="J10" i="74" s="1"/>
  <c r="I42" i="2"/>
  <c r="D52" i="76" l="1"/>
  <c r="D55" i="76"/>
  <c r="D51" i="76"/>
  <c r="D50" i="76"/>
  <c r="D55" i="5"/>
  <c r="D51" i="5"/>
  <c r="D52" i="5"/>
  <c r="D50" i="5"/>
  <c r="E55" i="76"/>
  <c r="E50" i="76"/>
  <c r="E51" i="76"/>
  <c r="E52" i="76"/>
  <c r="F53" i="74"/>
  <c r="E48" i="74"/>
  <c r="H52" i="74"/>
  <c r="H51" i="74"/>
  <c r="H50" i="74"/>
  <c r="G40" i="66"/>
  <c r="G41" i="66" s="1"/>
  <c r="G53" i="66" s="1"/>
  <c r="K22" i="66"/>
  <c r="K29" i="66" s="1"/>
  <c r="K17" i="66"/>
  <c r="G22" i="66"/>
  <c r="G29" i="66" s="1"/>
  <c r="G17" i="66"/>
  <c r="K13" i="66"/>
  <c r="O42" i="2"/>
  <c r="E53" i="74" l="1"/>
  <c r="D48" i="74"/>
  <c r="D53" i="74" s="1"/>
  <c r="I29" i="63"/>
  <c r="I47" i="63"/>
  <c r="H41" i="63"/>
  <c r="H53" i="63" s="1"/>
  <c r="I27" i="63"/>
  <c r="H22" i="63"/>
  <c r="F24" i="63" s="1"/>
  <c r="H17" i="63"/>
  <c r="C42" i="2"/>
  <c r="J42" i="2"/>
  <c r="H29" i="63" l="1"/>
  <c r="I16" i="2"/>
  <c r="J85" i="2"/>
  <c r="J109" i="2"/>
  <c r="E16" i="2"/>
  <c r="F16" i="2"/>
  <c r="H13" i="63" l="1"/>
  <c r="F85" i="2"/>
  <c r="E42" i="2"/>
  <c r="E95" i="2"/>
  <c r="F95" i="2"/>
  <c r="J95" i="2"/>
  <c r="F42" i="2"/>
  <c r="E85" i="2"/>
  <c r="C95" i="2"/>
  <c r="C85" i="2"/>
  <c r="G41" i="19" l="1"/>
  <c r="G22" i="19"/>
  <c r="G17" i="19"/>
  <c r="G29" i="19"/>
  <c r="G37" i="19"/>
  <c r="G13" i="19"/>
  <c r="H46" i="66" l="1"/>
  <c r="G46" i="66" s="1"/>
  <c r="I40" i="66"/>
  <c r="I50" i="66" s="1"/>
  <c r="L17" i="66"/>
  <c r="L13" i="66"/>
  <c r="P55" i="66"/>
  <c r="P37" i="66"/>
  <c r="P22" i="66"/>
  <c r="P29" i="66" s="1"/>
  <c r="P17" i="66"/>
  <c r="I41" i="66" l="1"/>
  <c r="I55" i="66" s="1"/>
  <c r="I51" i="66"/>
  <c r="I52" i="66"/>
  <c r="I53" i="66"/>
  <c r="H26" i="21"/>
  <c r="H27" i="21" s="1"/>
  <c r="H47" i="21" s="1"/>
  <c r="H41" i="21"/>
  <c r="H17" i="21"/>
  <c r="H21" i="21"/>
  <c r="H13" i="21"/>
  <c r="H32" i="21"/>
  <c r="L32" i="21"/>
  <c r="H29" i="21"/>
  <c r="H37" i="21"/>
  <c r="E48" i="21" s="1"/>
  <c r="E53" i="21" s="1"/>
  <c r="H50" i="21" l="1"/>
  <c r="H55" i="21"/>
  <c r="H51" i="21"/>
  <c r="H52" i="21"/>
  <c r="H40" i="39"/>
  <c r="H41" i="39" s="1"/>
  <c r="L16" i="39"/>
  <c r="H16" i="39"/>
  <c r="H22" i="39" s="1"/>
  <c r="O22" i="39"/>
  <c r="N22" i="39"/>
  <c r="M22" i="39"/>
  <c r="L22" i="39"/>
  <c r="K22" i="39"/>
  <c r="J22" i="39"/>
  <c r="I22" i="39"/>
  <c r="H12" i="39"/>
  <c r="F24" i="39" l="1"/>
  <c r="E24" i="39"/>
  <c r="G46" i="39"/>
  <c r="D13" i="39"/>
  <c r="E46" i="39"/>
  <c r="F46" i="39"/>
  <c r="H46" i="39"/>
  <c r="H29" i="39"/>
  <c r="G24" i="39"/>
  <c r="H17" i="39"/>
  <c r="H24" i="39"/>
  <c r="I41" i="67"/>
  <c r="I46" i="67"/>
  <c r="I37" i="67"/>
  <c r="F48" i="67" s="1"/>
  <c r="F53" i="67" s="1"/>
  <c r="I22" i="67"/>
  <c r="F24" i="67" s="1"/>
  <c r="F27" i="67" s="1"/>
  <c r="F47" i="67" s="1"/>
  <c r="F55" i="67" s="1"/>
  <c r="I17" i="67"/>
  <c r="I13" i="67"/>
  <c r="F50" i="67" l="1"/>
  <c r="F52" i="67"/>
  <c r="F51" i="67"/>
  <c r="E25" i="39"/>
  <c r="E27" i="39"/>
  <c r="E47" i="39" s="1"/>
  <c r="F25" i="39"/>
  <c r="F27" i="39" s="1"/>
  <c r="F47" i="39" s="1"/>
  <c r="G25" i="39"/>
  <c r="G27" i="39"/>
  <c r="G47" i="39" s="1"/>
  <c r="I29" i="67"/>
  <c r="H25" i="39"/>
  <c r="H27" i="39" s="1"/>
  <c r="H47" i="39" s="1"/>
  <c r="I46" i="69"/>
  <c r="I40" i="69"/>
  <c r="I41" i="69" s="1"/>
  <c r="I37" i="69"/>
  <c r="I22" i="69"/>
  <c r="I29" i="69" s="1"/>
  <c r="I17" i="69"/>
  <c r="I13" i="69"/>
  <c r="F50" i="39" l="1"/>
  <c r="F51" i="39"/>
  <c r="F55" i="39"/>
  <c r="F52" i="39"/>
  <c r="F48" i="69"/>
  <c r="F53" i="69" s="1"/>
  <c r="E55" i="39"/>
  <c r="E52" i="39"/>
  <c r="E51" i="39"/>
  <c r="E50" i="39"/>
  <c r="F24" i="69"/>
  <c r="F27" i="69" s="1"/>
  <c r="F47" i="69" s="1"/>
  <c r="G55" i="39"/>
  <c r="G50" i="39"/>
  <c r="G51" i="39"/>
  <c r="G52" i="39"/>
  <c r="H50" i="39"/>
  <c r="H52" i="39"/>
  <c r="H51" i="39"/>
  <c r="H55" i="39"/>
  <c r="F52" i="69" l="1"/>
  <c r="F50" i="69"/>
  <c r="F51" i="69"/>
  <c r="F55" i="69"/>
  <c r="I41" i="73"/>
  <c r="L37" i="73"/>
  <c r="H48" i="73" s="1"/>
  <c r="I53" i="73"/>
  <c r="L29" i="73"/>
  <c r="I17" i="73"/>
  <c r="J10" i="73"/>
  <c r="K10" i="73" s="1"/>
  <c r="L10" i="73" s="1"/>
  <c r="C12" i="2"/>
  <c r="H53" i="73" l="1"/>
  <c r="G48" i="73"/>
  <c r="I24" i="73"/>
  <c r="I27" i="73" s="1"/>
  <c r="I47" i="73" s="1"/>
  <c r="I55" i="73" s="1"/>
  <c r="F46" i="53"/>
  <c r="E46" i="53"/>
  <c r="D46" i="53"/>
  <c r="D40" i="53"/>
  <c r="D41" i="53" s="1"/>
  <c r="D37" i="53"/>
  <c r="E37" i="53"/>
  <c r="F37" i="53"/>
  <c r="G37" i="53"/>
  <c r="F48" i="53" s="1"/>
  <c r="H37" i="53"/>
  <c r="I37" i="53"/>
  <c r="G33" i="53"/>
  <c r="H29" i="53"/>
  <c r="G29" i="53"/>
  <c r="J21" i="53"/>
  <c r="J33" i="53" s="1"/>
  <c r="J17" i="53"/>
  <c r="I21" i="53"/>
  <c r="I33" i="53" s="1"/>
  <c r="I17" i="53"/>
  <c r="H21" i="53"/>
  <c r="H33" i="53" s="1"/>
  <c r="H17" i="53"/>
  <c r="G21" i="53"/>
  <c r="G17" i="53"/>
  <c r="F21" i="53"/>
  <c r="F33" i="53" s="1"/>
  <c r="F17" i="53"/>
  <c r="E21" i="53"/>
  <c r="E33" i="53" s="1"/>
  <c r="E17" i="53"/>
  <c r="D29" i="53"/>
  <c r="D24" i="53"/>
  <c r="D25" i="53" s="1"/>
  <c r="D21" i="53"/>
  <c r="D33" i="53" s="1"/>
  <c r="D17" i="53"/>
  <c r="D13" i="53"/>
  <c r="I12" i="2"/>
  <c r="J12" i="2"/>
  <c r="O12" i="2"/>
  <c r="I52" i="73" l="1"/>
  <c r="B48" i="53"/>
  <c r="B53" i="53" s="1"/>
  <c r="I51" i="73"/>
  <c r="G53" i="73"/>
  <c r="F48" i="73"/>
  <c r="I50" i="73"/>
  <c r="G34" i="53"/>
  <c r="H34" i="53"/>
  <c r="D34" i="53"/>
  <c r="E48" i="53"/>
  <c r="D48" i="53"/>
  <c r="D53" i="53"/>
  <c r="C48" i="53"/>
  <c r="C53" i="53" s="1"/>
  <c r="D27" i="53"/>
  <c r="D47" i="53" s="1"/>
  <c r="D50" i="53" s="1"/>
  <c r="I39" i="54"/>
  <c r="J40" i="54"/>
  <c r="I40" i="54"/>
  <c r="I33" i="54"/>
  <c r="I37" i="54"/>
  <c r="I46" i="54"/>
  <c r="I22" i="54"/>
  <c r="I29" i="54" s="1"/>
  <c r="I17" i="54"/>
  <c r="I13" i="54"/>
  <c r="E12" i="2"/>
  <c r="F12" i="2"/>
  <c r="F48" i="54" l="1"/>
  <c r="F53" i="54" s="1"/>
  <c r="I41" i="54"/>
  <c r="F53" i="73"/>
  <c r="E48" i="73"/>
  <c r="D51" i="53"/>
  <c r="D52" i="53"/>
  <c r="D55" i="53"/>
  <c r="I34" i="54"/>
  <c r="D41" i="65"/>
  <c r="D37" i="65"/>
  <c r="D21" i="65"/>
  <c r="E21" i="65"/>
  <c r="F21" i="65"/>
  <c r="G21" i="65"/>
  <c r="H21" i="65"/>
  <c r="I21" i="65"/>
  <c r="J21" i="65"/>
  <c r="D46" i="65"/>
  <c r="D24" i="65"/>
  <c r="D25" i="65" s="1"/>
  <c r="D29" i="65"/>
  <c r="D17" i="65"/>
  <c r="D13" i="65"/>
  <c r="E53" i="73" l="1"/>
  <c r="D48" i="73"/>
  <c r="D27" i="65"/>
  <c r="D47" i="65" s="1"/>
  <c r="D51" i="65"/>
  <c r="D50" i="65"/>
  <c r="D55" i="65"/>
  <c r="D52" i="65"/>
  <c r="D53" i="73" l="1"/>
  <c r="C48" i="73"/>
  <c r="C53" i="73" s="1"/>
  <c r="B37" i="17"/>
  <c r="B42" i="17"/>
  <c r="B40" i="17"/>
  <c r="B41" i="17" s="1"/>
  <c r="B22" i="17"/>
  <c r="B29" i="17" s="1"/>
  <c r="B17" i="17"/>
  <c r="B13" i="17"/>
  <c r="B47" i="17"/>
  <c r="B55" i="17" l="1"/>
  <c r="B50" i="17"/>
  <c r="B51" i="17"/>
  <c r="B52" i="17"/>
  <c r="G40" i="15"/>
  <c r="H46" i="15" l="1"/>
  <c r="G46" i="15" s="1"/>
  <c r="F46" i="15" s="1"/>
  <c r="E46" i="15" s="1"/>
  <c r="G41" i="15"/>
  <c r="G37" i="15" l="1"/>
  <c r="G22" i="15"/>
  <c r="G17" i="15"/>
  <c r="G13" i="15"/>
  <c r="D48" i="15" l="1"/>
  <c r="G29" i="15"/>
  <c r="I31" i="11"/>
  <c r="H31" i="11" s="1"/>
  <c r="M31" i="11"/>
  <c r="I40" i="11"/>
  <c r="I41" i="11" s="1"/>
  <c r="E25" i="15" l="1"/>
  <c r="E27" i="15"/>
  <c r="E47" i="15" s="1"/>
  <c r="F37" i="24"/>
  <c r="F44" i="24"/>
  <c r="F40" i="24"/>
  <c r="F41" i="24" s="1"/>
  <c r="G40" i="24"/>
  <c r="F22" i="24"/>
  <c r="F17" i="24"/>
  <c r="F13" i="24"/>
  <c r="C24" i="24" l="1"/>
  <c r="C25" i="24" s="1"/>
  <c r="C27" i="24" s="1"/>
  <c r="C47" i="24" s="1"/>
  <c r="C48" i="24"/>
  <c r="C53" i="24" s="1"/>
  <c r="E50" i="15"/>
  <c r="E55" i="15"/>
  <c r="E51" i="15"/>
  <c r="E52" i="15"/>
  <c r="F29" i="24"/>
  <c r="C51" i="24" l="1"/>
  <c r="C50" i="24"/>
  <c r="C52" i="24"/>
  <c r="E41" i="9"/>
  <c r="E13" i="9"/>
  <c r="E55" i="9"/>
  <c r="E47" i="9"/>
  <c r="E46" i="9"/>
  <c r="E52" i="9" l="1"/>
  <c r="E50" i="9"/>
  <c r="E51" i="9"/>
  <c r="H40" i="38"/>
  <c r="H41" i="38" s="1"/>
  <c r="H46" i="38"/>
  <c r="H22" i="38"/>
  <c r="H17" i="38"/>
  <c r="H13" i="38"/>
  <c r="E24" i="38" l="1"/>
  <c r="E27" i="38" s="1"/>
  <c r="E47" i="38" s="1"/>
  <c r="H29" i="38"/>
  <c r="H37" i="38" s="1"/>
  <c r="I32" i="61"/>
  <c r="M22" i="61"/>
  <c r="M17" i="61"/>
  <c r="I50" i="61"/>
  <c r="I41" i="61"/>
  <c r="I52" i="61" s="1"/>
  <c r="I37" i="61"/>
  <c r="I22" i="61"/>
  <c r="I17" i="61"/>
  <c r="I13" i="61"/>
  <c r="I29" i="61" l="1"/>
  <c r="F24" i="61"/>
  <c r="F48" i="61"/>
  <c r="F53" i="61" s="1"/>
  <c r="E48" i="38"/>
  <c r="E53" i="38" s="1"/>
  <c r="E55" i="38"/>
  <c r="E52" i="38"/>
  <c r="E50" i="38"/>
  <c r="E51" i="38"/>
  <c r="I51" i="61"/>
  <c r="I55" i="61"/>
  <c r="O33" i="49"/>
  <c r="N33" i="49"/>
  <c r="M33" i="49"/>
  <c r="L33" i="49"/>
  <c r="K33" i="49"/>
  <c r="J33" i="49"/>
  <c r="K46" i="49"/>
  <c r="J46" i="49"/>
  <c r="I41" i="49"/>
  <c r="I33" i="49"/>
  <c r="I22" i="49"/>
  <c r="I17" i="49"/>
  <c r="I13" i="49"/>
  <c r="F25" i="61" l="1"/>
  <c r="F27" i="61" s="1"/>
  <c r="F47" i="61" s="1"/>
  <c r="I29" i="49"/>
  <c r="F24" i="49"/>
  <c r="I37" i="49"/>
  <c r="I34" i="49"/>
  <c r="F52" i="61" l="1"/>
  <c r="F55" i="61"/>
  <c r="F51" i="61"/>
  <c r="F50" i="61"/>
  <c r="F25" i="49"/>
  <c r="F27" i="49"/>
  <c r="F47" i="49" s="1"/>
  <c r="I40" i="6"/>
  <c r="I41" i="6" s="1"/>
  <c r="I22" i="6"/>
  <c r="I17" i="6"/>
  <c r="I13" i="6"/>
  <c r="I29" i="6" l="1"/>
  <c r="F24" i="6"/>
  <c r="F26" i="6" s="1"/>
  <c r="F27" i="6" s="1"/>
  <c r="F47" i="6" s="1"/>
  <c r="F55" i="49"/>
  <c r="F50" i="49"/>
  <c r="F51" i="49"/>
  <c r="F52" i="49"/>
  <c r="I32" i="45"/>
  <c r="I31" i="45"/>
  <c r="M30" i="45"/>
  <c r="I41" i="45"/>
  <c r="I22" i="45"/>
  <c r="F24" i="45" s="1"/>
  <c r="F25" i="45" s="1"/>
  <c r="I17" i="45"/>
  <c r="M32" i="45"/>
  <c r="I37" i="45"/>
  <c r="F48" i="45" s="1"/>
  <c r="F53" i="45" s="1"/>
  <c r="I13" i="45"/>
  <c r="F27" i="45" l="1"/>
  <c r="F47" i="45" s="1"/>
  <c r="I29" i="45"/>
  <c r="I41" i="44"/>
  <c r="I42" i="44"/>
  <c r="I22" i="44"/>
  <c r="I29" i="44" s="1"/>
  <c r="I17" i="44"/>
  <c r="I13" i="44"/>
  <c r="F52" i="45" l="1"/>
  <c r="F50" i="45"/>
  <c r="F55" i="45"/>
  <c r="F51" i="45"/>
  <c r="P46" i="37"/>
  <c r="O46" i="37"/>
  <c r="N46" i="37"/>
  <c r="M46" i="37"/>
  <c r="L46" i="37"/>
  <c r="I41" i="37"/>
  <c r="I37" i="37"/>
  <c r="J37" i="37"/>
  <c r="S22" i="37"/>
  <c r="S17" i="37"/>
  <c r="R22" i="37"/>
  <c r="R17" i="37"/>
  <c r="Q22" i="37"/>
  <c r="Q17" i="37"/>
  <c r="P22" i="37"/>
  <c r="P17" i="37"/>
  <c r="O22" i="37"/>
  <c r="O17" i="37"/>
  <c r="N22" i="37"/>
  <c r="N17" i="37"/>
  <c r="M22" i="37"/>
  <c r="M17" i="37"/>
  <c r="L22" i="37"/>
  <c r="L17" i="37"/>
  <c r="K22" i="37"/>
  <c r="K17" i="37"/>
  <c r="J22" i="37"/>
  <c r="J29" i="37" s="1"/>
  <c r="J17" i="37"/>
  <c r="I22" i="37"/>
  <c r="F24" i="37" s="1"/>
  <c r="I17" i="37"/>
  <c r="I13" i="37"/>
  <c r="J13" i="37"/>
  <c r="G48" i="37" l="1"/>
  <c r="G53" i="37" s="1"/>
  <c r="F48" i="37"/>
  <c r="F53" i="37" s="1"/>
  <c r="F25" i="37"/>
  <c r="F27" i="37" s="1"/>
  <c r="F47" i="37" s="1"/>
  <c r="I29" i="37"/>
  <c r="G24" i="37"/>
  <c r="K24" i="37"/>
  <c r="K25" i="37" s="1"/>
  <c r="O24" i="37"/>
  <c r="O25" i="37" s="1"/>
  <c r="L24" i="37"/>
  <c r="L25" i="37" s="1"/>
  <c r="N24" i="37"/>
  <c r="N25" i="37" s="1"/>
  <c r="P24" i="37"/>
  <c r="P25" i="37" s="1"/>
  <c r="J24" i="37"/>
  <c r="J25" i="37" s="1"/>
  <c r="J27" i="37" s="1"/>
  <c r="J47" i="37" s="1"/>
  <c r="M24" i="37"/>
  <c r="M25" i="37" s="1"/>
  <c r="H24" i="37"/>
  <c r="I24" i="37"/>
  <c r="I25" i="37" s="1"/>
  <c r="I22" i="25"/>
  <c r="I17" i="25"/>
  <c r="M37" i="25"/>
  <c r="I37" i="25"/>
  <c r="I41" i="25"/>
  <c r="I13" i="25"/>
  <c r="F52" i="37" l="1"/>
  <c r="F50" i="37"/>
  <c r="F51" i="37"/>
  <c r="F55" i="37"/>
  <c r="F24" i="25"/>
  <c r="F48" i="25"/>
  <c r="F53" i="25" s="1"/>
  <c r="G25" i="37"/>
  <c r="G27" i="37" s="1"/>
  <c r="G47" i="37" s="1"/>
  <c r="I27" i="37"/>
  <c r="I47" i="37" s="1"/>
  <c r="I52" i="37" s="1"/>
  <c r="I29" i="25"/>
  <c r="H25" i="37"/>
  <c r="H27" i="37" s="1"/>
  <c r="H47" i="37" s="1"/>
  <c r="I41" i="59"/>
  <c r="M33" i="59"/>
  <c r="L33" i="59"/>
  <c r="K33" i="59"/>
  <c r="J33" i="59"/>
  <c r="I33" i="59"/>
  <c r="H33" i="59"/>
  <c r="G33" i="59"/>
  <c r="G46" i="59"/>
  <c r="H46" i="59"/>
  <c r="G41" i="59"/>
  <c r="H41" i="59"/>
  <c r="M37" i="59"/>
  <c r="L37" i="59"/>
  <c r="K37" i="59"/>
  <c r="J37" i="59"/>
  <c r="I37" i="59"/>
  <c r="H37" i="59"/>
  <c r="G37" i="59"/>
  <c r="G22" i="59"/>
  <c r="G17" i="59"/>
  <c r="G13" i="59"/>
  <c r="F25" i="25" l="1"/>
  <c r="F27" i="25" s="1"/>
  <c r="F47" i="25" s="1"/>
  <c r="F48" i="59"/>
  <c r="F53" i="59" s="1"/>
  <c r="E48" i="59"/>
  <c r="E53" i="59" s="1"/>
  <c r="D48" i="59"/>
  <c r="D53" i="59" s="1"/>
  <c r="G29" i="59"/>
  <c r="G34" i="59" s="1"/>
  <c r="I51" i="37"/>
  <c r="I50" i="37"/>
  <c r="G51" i="37"/>
  <c r="G52" i="37"/>
  <c r="G50" i="37"/>
  <c r="G55" i="37"/>
  <c r="I55" i="37"/>
  <c r="H55" i="37"/>
  <c r="H52" i="37"/>
  <c r="H50" i="37"/>
  <c r="H51" i="37"/>
  <c r="G48" i="59"/>
  <c r="G53" i="59" s="1"/>
  <c r="H48" i="59"/>
  <c r="H53" i="59" s="1"/>
  <c r="I48" i="59"/>
  <c r="G41" i="60"/>
  <c r="F52" i="25" l="1"/>
  <c r="F50" i="25"/>
  <c r="F51" i="25"/>
  <c r="E46" i="60"/>
  <c r="F46" i="60"/>
  <c r="G46" i="60"/>
  <c r="E41" i="60"/>
  <c r="J37" i="60"/>
  <c r="I37" i="60"/>
  <c r="H37" i="60"/>
  <c r="E37" i="60"/>
  <c r="K22" i="60"/>
  <c r="K29" i="60" s="1"/>
  <c r="J22" i="60"/>
  <c r="J29" i="60" s="1"/>
  <c r="I22" i="60"/>
  <c r="I29" i="60" s="1"/>
  <c r="H22" i="60"/>
  <c r="H24" i="60" s="1"/>
  <c r="G22" i="60"/>
  <c r="E22" i="60"/>
  <c r="B24" i="60" s="1"/>
  <c r="B27" i="60" s="1"/>
  <c r="B47" i="60" s="1"/>
  <c r="K17" i="60"/>
  <c r="J17" i="60"/>
  <c r="I17" i="60"/>
  <c r="H17" i="60"/>
  <c r="G17" i="60"/>
  <c r="E17" i="60"/>
  <c r="E13" i="60"/>
  <c r="B50" i="60" l="1"/>
  <c r="B55" i="60"/>
  <c r="B52" i="60"/>
  <c r="B51" i="60"/>
  <c r="C24" i="60"/>
  <c r="C27" i="60" s="1"/>
  <c r="C47" i="60" s="1"/>
  <c r="C52" i="60"/>
  <c r="C55" i="60"/>
  <c r="C51" i="60"/>
  <c r="C50" i="60"/>
  <c r="G24" i="60"/>
  <c r="G25" i="60" s="1"/>
  <c r="H29" i="60"/>
  <c r="G29" i="60"/>
  <c r="D24" i="60"/>
  <c r="D27" i="60" s="1"/>
  <c r="D47" i="60" s="1"/>
  <c r="E24" i="60"/>
  <c r="E29" i="60"/>
  <c r="I41" i="12"/>
  <c r="I52" i="12" s="1"/>
  <c r="I50" i="12"/>
  <c r="I55" i="12" l="1"/>
  <c r="I51" i="12"/>
  <c r="D55" i="60"/>
  <c r="D51" i="60"/>
  <c r="D52" i="60"/>
  <c r="D50" i="60"/>
  <c r="G40" i="34"/>
  <c r="G41" i="34"/>
  <c r="G22" i="34"/>
  <c r="G17" i="34"/>
  <c r="G13" i="34"/>
  <c r="D24" i="34" l="1"/>
  <c r="D27" i="34" s="1"/>
  <c r="D47" i="34" s="1"/>
  <c r="G29" i="34"/>
  <c r="D52" i="34" l="1"/>
  <c r="D51" i="34"/>
  <c r="D50" i="34"/>
  <c r="G55" i="34"/>
  <c r="I40" i="47" l="1"/>
  <c r="I41" i="47" s="1"/>
  <c r="M46" i="47"/>
  <c r="L46" i="47" s="1"/>
  <c r="K46" i="47" s="1"/>
  <c r="J46" i="47" s="1"/>
  <c r="I46" i="47" s="1"/>
  <c r="H46" i="47" s="1"/>
  <c r="G46" i="47" s="1"/>
  <c r="F46" i="47" s="1"/>
  <c r="E46" i="47" s="1"/>
  <c r="D46" i="47" s="1"/>
  <c r="C46" i="47" s="1"/>
  <c r="I37" i="47"/>
  <c r="I29" i="47"/>
  <c r="I24" i="47"/>
  <c r="I26" i="47" s="1"/>
  <c r="I33" i="47"/>
  <c r="I13" i="47"/>
  <c r="I34" i="47" l="1"/>
  <c r="I27" i="47"/>
  <c r="I47" i="47" s="1"/>
  <c r="I55" i="47" s="1"/>
  <c r="I40" i="20"/>
  <c r="I41" i="20" s="1"/>
  <c r="I37" i="20"/>
  <c r="M37" i="20"/>
  <c r="I22" i="20"/>
  <c r="I17" i="20"/>
  <c r="I13" i="20"/>
  <c r="I46" i="20"/>
  <c r="I51" i="47" l="1"/>
  <c r="I52" i="47"/>
  <c r="I29" i="20"/>
  <c r="F24" i="20"/>
  <c r="I50" i="47"/>
  <c r="S46" i="43"/>
  <c r="R46" i="43"/>
  <c r="Q46" i="43"/>
  <c r="I42" i="43"/>
  <c r="K40" i="43"/>
  <c r="K41" i="43" s="1"/>
  <c r="J40" i="43"/>
  <c r="J41" i="43" s="1"/>
  <c r="I40" i="43"/>
  <c r="I41" i="43" s="1"/>
  <c r="I46" i="43"/>
  <c r="O33" i="43"/>
  <c r="K33" i="43"/>
  <c r="O21" i="43"/>
  <c r="N21" i="43"/>
  <c r="N33" i="43" s="1"/>
  <c r="M21" i="43"/>
  <c r="M33" i="43" s="1"/>
  <c r="L21" i="43"/>
  <c r="L33" i="43" s="1"/>
  <c r="K21" i="43"/>
  <c r="J21" i="43"/>
  <c r="J33" i="43" s="1"/>
  <c r="I21" i="43"/>
  <c r="I33" i="43" s="1"/>
  <c r="I37" i="43"/>
  <c r="I29" i="43"/>
  <c r="I17" i="43"/>
  <c r="I13" i="43"/>
  <c r="F48" i="43" l="1"/>
  <c r="F53" i="43" s="1"/>
  <c r="F26" i="20"/>
  <c r="F27" i="20" s="1"/>
  <c r="F47" i="20" s="1"/>
  <c r="I34" i="43"/>
  <c r="K33" i="64"/>
  <c r="G33" i="64"/>
  <c r="F37" i="64"/>
  <c r="F29" i="64"/>
  <c r="F24" i="64"/>
  <c r="F27" i="64" s="1"/>
  <c r="F47" i="64" s="1"/>
  <c r="F17" i="64"/>
  <c r="F21" i="64"/>
  <c r="F33" i="64" s="1"/>
  <c r="F34" i="64" s="1"/>
  <c r="G21" i="64"/>
  <c r="H21" i="64"/>
  <c r="H33" i="64" s="1"/>
  <c r="I21" i="64"/>
  <c r="I33" i="64" s="1"/>
  <c r="J21" i="64"/>
  <c r="J33" i="64" s="1"/>
  <c r="K21" i="64"/>
  <c r="L21" i="64"/>
  <c r="L33" i="64" s="1"/>
  <c r="F46" i="64"/>
  <c r="F41" i="64"/>
  <c r="F13" i="64"/>
  <c r="F55" i="20" l="1"/>
  <c r="F50" i="20"/>
  <c r="F51" i="20"/>
  <c r="F52" i="20"/>
  <c r="C48" i="64"/>
  <c r="C53" i="64" s="1"/>
  <c r="F55" i="64"/>
  <c r="F51" i="64"/>
  <c r="F52" i="64"/>
  <c r="F50" i="64"/>
  <c r="I40" i="50"/>
  <c r="I41" i="50" s="1"/>
  <c r="I37" i="50"/>
  <c r="M22" i="50"/>
  <c r="I22" i="50"/>
  <c r="I17" i="50"/>
  <c r="I13" i="50"/>
  <c r="I46" i="50"/>
  <c r="F48" i="50" l="1"/>
  <c r="F53" i="50" s="1"/>
  <c r="F24" i="50"/>
  <c r="F27" i="50" s="1"/>
  <c r="F47" i="50" s="1"/>
  <c r="I29" i="50"/>
  <c r="O55" i="29"/>
  <c r="N55" i="29"/>
  <c r="K55" i="29"/>
  <c r="J55" i="29"/>
  <c r="I55" i="29"/>
  <c r="K46" i="29"/>
  <c r="J46" i="29"/>
  <c r="I46" i="29"/>
  <c r="O37" i="29"/>
  <c r="N37" i="29"/>
  <c r="M37" i="29"/>
  <c r="L37" i="29"/>
  <c r="K37" i="29"/>
  <c r="J37" i="29"/>
  <c r="I37" i="29"/>
  <c r="O22" i="29"/>
  <c r="O29" i="29" s="1"/>
  <c r="N22" i="29"/>
  <c r="N29" i="29" s="1"/>
  <c r="M22" i="29"/>
  <c r="M29" i="29" s="1"/>
  <c r="L22" i="29"/>
  <c r="K22" i="29"/>
  <c r="K29" i="29" s="1"/>
  <c r="J22" i="29"/>
  <c r="I22" i="29"/>
  <c r="O17" i="29"/>
  <c r="N17" i="29"/>
  <c r="M17" i="29"/>
  <c r="L17" i="29"/>
  <c r="K17" i="29"/>
  <c r="J17" i="29"/>
  <c r="I17" i="29"/>
  <c r="K13" i="29"/>
  <c r="J13" i="29"/>
  <c r="I13" i="29"/>
  <c r="J10" i="29"/>
  <c r="K10" i="29" s="1"/>
  <c r="L10" i="29" s="1"/>
  <c r="M10" i="29" s="1"/>
  <c r="N10" i="29" s="1"/>
  <c r="O10" i="29" s="1"/>
  <c r="O13" i="2"/>
  <c r="I13" i="2"/>
  <c r="J13" i="2"/>
  <c r="G48" i="29" l="1"/>
  <c r="G53" i="29" s="1"/>
  <c r="H48" i="29"/>
  <c r="H53" i="29" s="1"/>
  <c r="F48" i="29"/>
  <c r="F53" i="29" s="1"/>
  <c r="I29" i="29"/>
  <c r="H24" i="29"/>
  <c r="I24" i="29"/>
  <c r="I25" i="29" s="1"/>
  <c r="F24" i="29"/>
  <c r="G24" i="29"/>
  <c r="J29" i="29"/>
  <c r="J24" i="29"/>
  <c r="J25" i="29" s="1"/>
  <c r="F55" i="50"/>
  <c r="F52" i="50"/>
  <c r="F51" i="50"/>
  <c r="F50" i="50"/>
  <c r="J48" i="29"/>
  <c r="J53" i="29" s="1"/>
  <c r="K48" i="29"/>
  <c r="K53" i="29" s="1"/>
  <c r="K24" i="29"/>
  <c r="K25" i="29" s="1"/>
  <c r="L29" i="29"/>
  <c r="I48" i="29"/>
  <c r="I53" i="29" s="1"/>
  <c r="I41" i="41"/>
  <c r="I37" i="41"/>
  <c r="I22" i="41"/>
  <c r="I17" i="41"/>
  <c r="I13" i="41"/>
  <c r="I46" i="41"/>
  <c r="C64" i="2"/>
  <c r="G25" i="29" l="1"/>
  <c r="G27" i="29"/>
  <c r="G47" i="29" s="1"/>
  <c r="F25" i="29"/>
  <c r="F27" i="29"/>
  <c r="F47" i="29" s="1"/>
  <c r="F48" i="41"/>
  <c r="F53" i="41" s="1"/>
  <c r="H25" i="29"/>
  <c r="H27" i="29" s="1"/>
  <c r="H47" i="29" s="1"/>
  <c r="F24" i="41"/>
  <c r="F27" i="41" s="1"/>
  <c r="F47" i="41" s="1"/>
  <c r="F55" i="41" s="1"/>
  <c r="I27" i="29"/>
  <c r="I47" i="29" s="1"/>
  <c r="K27" i="29"/>
  <c r="K47" i="29" s="1"/>
  <c r="I29" i="41"/>
  <c r="I34" i="41" s="1"/>
  <c r="J27" i="29"/>
  <c r="J47" i="29" s="1"/>
  <c r="J50" i="62"/>
  <c r="J41" i="62"/>
  <c r="J53" i="62" s="1"/>
  <c r="F13" i="2"/>
  <c r="C13" i="2"/>
  <c r="E13" i="2"/>
  <c r="H50" i="29" l="1"/>
  <c r="H51" i="29"/>
  <c r="H52" i="29"/>
  <c r="G50" i="29"/>
  <c r="G52" i="29"/>
  <c r="G51" i="29"/>
  <c r="F50" i="29"/>
  <c r="F52" i="29"/>
  <c r="F51" i="29"/>
  <c r="F52" i="41"/>
  <c r="F50" i="41"/>
  <c r="F51" i="41"/>
  <c r="J55" i="62"/>
  <c r="J50" i="29"/>
  <c r="J52" i="29"/>
  <c r="J51" i="29"/>
  <c r="K52" i="29"/>
  <c r="K50" i="29"/>
  <c r="K51" i="29"/>
  <c r="I52" i="29"/>
  <c r="I51" i="29"/>
  <c r="I50" i="29"/>
  <c r="J51" i="62"/>
  <c r="J52" i="62"/>
  <c r="H21" i="27"/>
  <c r="H16" i="27" s="1"/>
  <c r="H17" i="27" s="1"/>
  <c r="H13" i="27"/>
  <c r="H24" i="27"/>
  <c r="H27" i="27" s="1"/>
  <c r="H47" i="27" s="1"/>
  <c r="H50" i="27" s="1"/>
  <c r="H29" i="27"/>
  <c r="H41" i="27"/>
  <c r="H55" i="27" l="1"/>
  <c r="H51" i="27"/>
  <c r="H52" i="27"/>
  <c r="F40" i="36"/>
  <c r="F41" i="36" s="1"/>
  <c r="F44" i="36"/>
  <c r="F16" i="36"/>
  <c r="F17" i="36" s="1"/>
  <c r="F13" i="36"/>
  <c r="F33" i="36" l="1"/>
  <c r="F22" i="36"/>
  <c r="I40" i="7"/>
  <c r="H40" i="7"/>
  <c r="H41" i="7" s="1"/>
  <c r="K37" i="7"/>
  <c r="L37" i="7"/>
  <c r="H37" i="7"/>
  <c r="E48" i="7" s="1"/>
  <c r="E53" i="7" s="1"/>
  <c r="H22" i="7"/>
  <c r="E24" i="7" s="1"/>
  <c r="E27" i="7" s="1"/>
  <c r="E47" i="7" s="1"/>
  <c r="H17" i="7"/>
  <c r="H13" i="7"/>
  <c r="E52" i="7" l="1"/>
  <c r="E50" i="7"/>
  <c r="E51" i="7"/>
  <c r="E55" i="7"/>
  <c r="H29" i="7"/>
  <c r="F29" i="36"/>
  <c r="I40" i="13"/>
  <c r="I41" i="13"/>
  <c r="I55" i="13"/>
  <c r="I47" i="13"/>
  <c r="I37" i="13"/>
  <c r="F48" i="13" s="1"/>
  <c r="F53" i="13" s="1"/>
  <c r="I29" i="13"/>
  <c r="I24" i="13"/>
  <c r="I25" i="13" s="1"/>
  <c r="I17" i="13"/>
  <c r="I21" i="13"/>
  <c r="I33" i="13" s="1"/>
  <c r="I13" i="13"/>
  <c r="I34" i="13" l="1"/>
  <c r="I52" i="13"/>
  <c r="I50" i="13"/>
  <c r="I51" i="13"/>
  <c r="B40" i="26" l="1"/>
  <c r="B41" i="26"/>
  <c r="B37" i="26"/>
  <c r="C37" i="26"/>
  <c r="B33" i="26"/>
  <c r="B22" i="26"/>
  <c r="B29" i="26" s="1"/>
  <c r="B34" i="26" s="1"/>
  <c r="B17" i="26"/>
  <c r="B13" i="26"/>
  <c r="H40" i="40" l="1"/>
  <c r="H41" i="40"/>
  <c r="H37" i="40"/>
  <c r="H22" i="40"/>
  <c r="H17" i="40"/>
  <c r="H13" i="40"/>
  <c r="H55" i="40"/>
  <c r="H29" i="40" l="1"/>
  <c r="H34" i="40" s="1"/>
  <c r="E24" i="40"/>
  <c r="E48" i="40"/>
  <c r="E53" i="40" s="1"/>
  <c r="I33" i="35"/>
  <c r="J21" i="35"/>
  <c r="J33" i="35" s="1"/>
  <c r="I21" i="35"/>
  <c r="H21" i="35"/>
  <c r="H33" i="35" s="1"/>
  <c r="G21" i="35"/>
  <c r="G33" i="35" s="1"/>
  <c r="F21" i="35"/>
  <c r="F33" i="35" s="1"/>
  <c r="E21" i="35"/>
  <c r="E33" i="35" s="1"/>
  <c r="D46" i="35"/>
  <c r="D40" i="35"/>
  <c r="D41" i="35" s="1"/>
  <c r="D29" i="35"/>
  <c r="D37" i="35"/>
  <c r="D21" i="35"/>
  <c r="D33" i="35" s="1"/>
  <c r="D17" i="35"/>
  <c r="D13" i="35"/>
  <c r="E25" i="40" l="1"/>
  <c r="E27" i="40"/>
  <c r="E47" i="40" s="1"/>
  <c r="D34" i="35"/>
  <c r="M16" i="23"/>
  <c r="O16" i="23"/>
  <c r="O22" i="23" s="1"/>
  <c r="E50" i="40" l="1"/>
  <c r="E51" i="40"/>
  <c r="E52" i="40"/>
  <c r="D42" i="56"/>
  <c r="D46" i="56"/>
  <c r="D40" i="56"/>
  <c r="D41" i="56"/>
  <c r="D33" i="56"/>
  <c r="D37" i="56"/>
  <c r="D17" i="56"/>
  <c r="D22" i="56"/>
  <c r="D13" i="56"/>
  <c r="D29" i="56" l="1"/>
  <c r="D34" i="56" s="1"/>
  <c r="I42" i="8"/>
  <c r="I40" i="8"/>
  <c r="I41" i="8" s="1"/>
  <c r="I22" i="8" l="1"/>
  <c r="I17" i="8"/>
  <c r="I13" i="8"/>
  <c r="F24" i="8" l="1"/>
  <c r="F27" i="8" s="1"/>
  <c r="F47" i="8" s="1"/>
  <c r="I29" i="8"/>
  <c r="H42" i="16"/>
  <c r="H40" i="16"/>
  <c r="H41" i="16" s="1"/>
  <c r="H13" i="16"/>
  <c r="F55" i="8" l="1"/>
  <c r="F52" i="8"/>
  <c r="F51" i="8"/>
  <c r="F50" i="8"/>
  <c r="I42" i="68"/>
  <c r="J27" i="68"/>
  <c r="J47" i="68" s="1"/>
  <c r="I40" i="68"/>
  <c r="I41" i="68" s="1"/>
  <c r="I17" i="68"/>
  <c r="I22" i="68"/>
  <c r="I13" i="68"/>
  <c r="I29" i="68" l="1"/>
  <c r="F24" i="68"/>
  <c r="F27" i="68" s="1"/>
  <c r="F47" i="68" s="1"/>
  <c r="I24" i="68"/>
  <c r="H24" i="68"/>
  <c r="G24" i="68"/>
  <c r="G27" i="68" s="1"/>
  <c r="G47" i="68" s="1"/>
  <c r="H41" i="72"/>
  <c r="N55" i="72"/>
  <c r="M55" i="72"/>
  <c r="M37" i="72"/>
  <c r="K37" i="72"/>
  <c r="I37" i="72"/>
  <c r="F48" i="72" s="1"/>
  <c r="F53" i="72" s="1"/>
  <c r="N22" i="72"/>
  <c r="N29" i="72" s="1"/>
  <c r="M22" i="72"/>
  <c r="M29" i="72" s="1"/>
  <c r="L22" i="72"/>
  <c r="K22" i="72"/>
  <c r="J22" i="72"/>
  <c r="J29" i="72" s="1"/>
  <c r="I22" i="72"/>
  <c r="H22" i="72"/>
  <c r="E24" i="72" s="1"/>
  <c r="N17" i="72"/>
  <c r="M17" i="72"/>
  <c r="L17" i="72"/>
  <c r="K17" i="72"/>
  <c r="J17" i="72"/>
  <c r="I17" i="72"/>
  <c r="H17" i="72"/>
  <c r="J13" i="72"/>
  <c r="I13" i="72"/>
  <c r="H13" i="72"/>
  <c r="I10" i="72"/>
  <c r="J10" i="72" s="1"/>
  <c r="K10" i="72" s="1"/>
  <c r="L10" i="72" s="1"/>
  <c r="M10" i="72" s="1"/>
  <c r="N10" i="72" s="1"/>
  <c r="F55" i="68" l="1"/>
  <c r="F50" i="68"/>
  <c r="F51" i="68"/>
  <c r="F52" i="68"/>
  <c r="I29" i="72"/>
  <c r="F24" i="72"/>
  <c r="G52" i="68"/>
  <c r="G55" i="68"/>
  <c r="G50" i="68"/>
  <c r="G51" i="68"/>
  <c r="H48" i="72"/>
  <c r="H53" i="72" s="1"/>
  <c r="G48" i="72"/>
  <c r="G53" i="72" s="1"/>
  <c r="H29" i="72"/>
  <c r="G27" i="72"/>
  <c r="G47" i="72" s="1"/>
  <c r="H27" i="72"/>
  <c r="H47" i="72" s="1"/>
  <c r="H51" i="72" s="1"/>
  <c r="L29" i="72"/>
  <c r="K29" i="72"/>
  <c r="B55" i="48"/>
  <c r="B46" i="48"/>
  <c r="D40" i="48"/>
  <c r="B40" i="48"/>
  <c r="B41" i="48"/>
  <c r="B37" i="48"/>
  <c r="B22" i="48"/>
  <c r="B17" i="48"/>
  <c r="B13" i="48"/>
  <c r="O87" i="2"/>
  <c r="H52" i="72" l="1"/>
  <c r="B29" i="48"/>
  <c r="B34" i="48" s="1"/>
  <c r="G50" i="72"/>
  <c r="G51" i="72"/>
  <c r="G55" i="72"/>
  <c r="G52" i="72"/>
  <c r="H55" i="72"/>
  <c r="H50" i="72"/>
  <c r="I87" i="2"/>
  <c r="F27" i="72" l="1"/>
  <c r="F47" i="72" s="1"/>
  <c r="F50" i="72" s="1"/>
  <c r="F55" i="72"/>
  <c r="F51" i="72"/>
  <c r="F52" i="72"/>
  <c r="I40" i="30"/>
  <c r="I41" i="30" s="1"/>
  <c r="I46" i="30"/>
  <c r="I22" i="30"/>
  <c r="I17" i="30"/>
  <c r="I13" i="30"/>
  <c r="C87" i="2"/>
  <c r="F87" i="2"/>
  <c r="E87" i="2"/>
  <c r="J87" i="2"/>
  <c r="E27" i="72" l="1"/>
  <c r="E47" i="72" s="1"/>
  <c r="D27" i="72"/>
  <c r="D47" i="72" s="1"/>
  <c r="E55" i="72"/>
  <c r="E52" i="72"/>
  <c r="E50" i="72"/>
  <c r="E51" i="72"/>
  <c r="F24" i="30"/>
  <c r="I29" i="30"/>
  <c r="H44" i="3"/>
  <c r="H40" i="3"/>
  <c r="H41" i="3" s="1"/>
  <c r="D52" i="72" l="1"/>
  <c r="D50" i="72"/>
  <c r="D51" i="72"/>
  <c r="D55" i="72"/>
  <c r="F25" i="30"/>
  <c r="F27" i="30" s="1"/>
  <c r="F47" i="30" s="1"/>
  <c r="H42" i="3"/>
  <c r="H33" i="3"/>
  <c r="H29" i="3"/>
  <c r="H16" i="3"/>
  <c r="H17" i="3" s="1"/>
  <c r="H13" i="3"/>
  <c r="F51" i="30" l="1"/>
  <c r="F52" i="30"/>
  <c r="F50" i="30"/>
  <c r="H41" i="28"/>
  <c r="H37" i="28"/>
  <c r="H33" i="28"/>
  <c r="H29" i="28"/>
  <c r="H34" i="28" s="1"/>
  <c r="H17" i="28"/>
  <c r="H46" i="28"/>
  <c r="H13" i="28"/>
  <c r="E48" i="28" l="1"/>
  <c r="E53" i="28" s="1"/>
  <c r="H40" i="5"/>
  <c r="H41" i="5" s="1"/>
  <c r="H37" i="5"/>
  <c r="E48" i="5" s="1"/>
  <c r="E53" i="5" s="1"/>
  <c r="H22" i="5"/>
  <c r="E24" i="5" s="1"/>
  <c r="E27" i="5" s="1"/>
  <c r="E47" i="5" s="1"/>
  <c r="H17" i="5"/>
  <c r="H13" i="5"/>
  <c r="H46" i="5"/>
  <c r="E50" i="5" l="1"/>
  <c r="E55" i="5"/>
  <c r="E52" i="5"/>
  <c r="E51" i="5"/>
  <c r="H29" i="5"/>
  <c r="H34" i="5" s="1"/>
  <c r="K41" i="71" l="1"/>
  <c r="K55" i="71" s="1"/>
  <c r="L36" i="71"/>
  <c r="L35" i="71"/>
  <c r="L37" i="71" s="1"/>
  <c r="L32" i="71"/>
  <c r="L31" i="71"/>
  <c r="L30" i="71"/>
  <c r="L16" i="71"/>
  <c r="L12" i="71"/>
  <c r="L10" i="71"/>
  <c r="M10" i="71" s="1"/>
  <c r="M37" i="71"/>
  <c r="K37" i="71"/>
  <c r="M22" i="71"/>
  <c r="M29" i="71" s="1"/>
  <c r="K22" i="71"/>
  <c r="M17" i="71"/>
  <c r="K17" i="71"/>
  <c r="J24" i="71" l="1"/>
  <c r="J25" i="71" s="1"/>
  <c r="J27" i="71" s="1"/>
  <c r="J47" i="71" s="1"/>
  <c r="L17" i="71"/>
  <c r="K48" i="71"/>
  <c r="K53" i="71" s="1"/>
  <c r="L22" i="71"/>
  <c r="J48" i="71"/>
  <c r="D48" i="71" s="1"/>
  <c r="C48" i="71" s="1"/>
  <c r="B48" i="71" s="1"/>
  <c r="B53" i="71" s="1"/>
  <c r="K29" i="71"/>
  <c r="H40" i="70"/>
  <c r="H41" i="70" s="1"/>
  <c r="H55" i="70" s="1"/>
  <c r="I10" i="70"/>
  <c r="I14" i="2"/>
  <c r="O14" i="2"/>
  <c r="J53" i="71" l="1"/>
  <c r="L24" i="71"/>
  <c r="L27" i="71" s="1"/>
  <c r="K24" i="71"/>
  <c r="K27" i="71" s="1"/>
  <c r="K52" i="71" s="1"/>
  <c r="L29" i="71"/>
  <c r="J52" i="71"/>
  <c r="J50" i="71"/>
  <c r="J55" i="71"/>
  <c r="J51" i="71"/>
  <c r="K50" i="71"/>
  <c r="K51" i="71"/>
  <c r="H53" i="70"/>
  <c r="H52" i="70"/>
  <c r="H51" i="70"/>
  <c r="H50" i="70"/>
  <c r="H40" i="15"/>
  <c r="H41" i="15"/>
  <c r="H37" i="15"/>
  <c r="E48" i="15" s="1"/>
  <c r="E53" i="15" s="1"/>
  <c r="H22" i="15"/>
  <c r="H17" i="15"/>
  <c r="H13" i="15"/>
  <c r="J64" i="2"/>
  <c r="J14" i="2"/>
  <c r="O64" i="2"/>
  <c r="D53" i="71" l="1"/>
  <c r="C53" i="71"/>
  <c r="H29" i="15"/>
  <c r="H29" i="19"/>
  <c r="G24" i="19"/>
  <c r="M16" i="19"/>
  <c r="M12" i="19"/>
  <c r="I37" i="19"/>
  <c r="H22" i="19"/>
  <c r="H41" i="19"/>
  <c r="H17" i="19"/>
  <c r="H13" i="19"/>
  <c r="I64" i="2"/>
  <c r="H37" i="19" l="1"/>
  <c r="F35" i="19"/>
  <c r="F37" i="19" s="1"/>
  <c r="D48" i="19" s="1"/>
  <c r="D53" i="19" s="1"/>
  <c r="G26" i="19"/>
  <c r="G27" i="19" s="1"/>
  <c r="G47" i="19" s="1"/>
  <c r="H24" i="19"/>
  <c r="H26" i="19" s="1"/>
  <c r="H27" i="19" s="1"/>
  <c r="H47" i="19" s="1"/>
  <c r="H55" i="19" s="1"/>
  <c r="J46" i="69"/>
  <c r="J41" i="69"/>
  <c r="P55" i="69"/>
  <c r="O55" i="69"/>
  <c r="P37" i="69"/>
  <c r="O37" i="69"/>
  <c r="N37" i="69"/>
  <c r="M37" i="69"/>
  <c r="L37" i="69"/>
  <c r="K37" i="69"/>
  <c r="J37" i="69"/>
  <c r="G48" i="69" s="1"/>
  <c r="G53" i="69" s="1"/>
  <c r="P22" i="69"/>
  <c r="P29" i="69" s="1"/>
  <c r="O22" i="69"/>
  <c r="O29" i="69" s="1"/>
  <c r="N22" i="69"/>
  <c r="M22" i="69"/>
  <c r="L22" i="69"/>
  <c r="L29" i="69" s="1"/>
  <c r="K22" i="69"/>
  <c r="K29" i="69" s="1"/>
  <c r="J22" i="69"/>
  <c r="G24" i="69" s="1"/>
  <c r="G27" i="69" s="1"/>
  <c r="G47" i="69" s="1"/>
  <c r="P17" i="69"/>
  <c r="O17" i="69"/>
  <c r="N17" i="69"/>
  <c r="M17" i="69"/>
  <c r="L17" i="69"/>
  <c r="K17" i="69"/>
  <c r="J17" i="69"/>
  <c r="L13" i="69"/>
  <c r="K13" i="69"/>
  <c r="J13" i="69"/>
  <c r="K10" i="69"/>
  <c r="L10" i="69" s="1"/>
  <c r="M10" i="69" s="1"/>
  <c r="N10" i="69" s="1"/>
  <c r="O10" i="69" s="1"/>
  <c r="P10" i="69" s="1"/>
  <c r="O88" i="2"/>
  <c r="F14" i="2"/>
  <c r="I88" i="2"/>
  <c r="I24" i="2"/>
  <c r="O24" i="2"/>
  <c r="G55" i="69" l="1"/>
  <c r="G50" i="69"/>
  <c r="G51" i="69"/>
  <c r="G52" i="69"/>
  <c r="F48" i="19"/>
  <c r="E48" i="19"/>
  <c r="E53" i="19" s="1"/>
  <c r="I24" i="69"/>
  <c r="I27" i="69" s="1"/>
  <c r="I47" i="69" s="1"/>
  <c r="H24" i="69"/>
  <c r="H27" i="69" s="1"/>
  <c r="H47" i="69" s="1"/>
  <c r="H52" i="19"/>
  <c r="J53" i="69"/>
  <c r="I48" i="69"/>
  <c r="I53" i="69" s="1"/>
  <c r="H48" i="69"/>
  <c r="H53" i="69" s="1"/>
  <c r="G52" i="19"/>
  <c r="G50" i="19"/>
  <c r="G55" i="19"/>
  <c r="G51" i="19"/>
  <c r="H51" i="19"/>
  <c r="H50" i="19"/>
  <c r="J24" i="69"/>
  <c r="N29" i="69"/>
  <c r="M24" i="69"/>
  <c r="M27" i="69" s="1"/>
  <c r="J29" i="69"/>
  <c r="K24" i="69"/>
  <c r="K27" i="69" s="1"/>
  <c r="M29" i="69"/>
  <c r="L24" i="69"/>
  <c r="L27" i="69" s="1"/>
  <c r="F27" i="9"/>
  <c r="F47" i="9" s="1"/>
  <c r="F41" i="9"/>
  <c r="F30" i="9"/>
  <c r="E30" i="9" s="1"/>
  <c r="D30" i="9" s="1"/>
  <c r="F31" i="9"/>
  <c r="E31" i="9" s="1"/>
  <c r="D31" i="9" s="1"/>
  <c r="F36" i="9"/>
  <c r="E36" i="9" s="1"/>
  <c r="D36" i="9" s="1"/>
  <c r="E21" i="9"/>
  <c r="E20" i="9"/>
  <c r="D20" i="9" s="1"/>
  <c r="E16" i="9"/>
  <c r="F13" i="9"/>
  <c r="F55" i="9"/>
  <c r="F46" i="9"/>
  <c r="J88" i="2"/>
  <c r="E14" i="2"/>
  <c r="C14" i="2"/>
  <c r="C88" i="2"/>
  <c r="F64" i="2"/>
  <c r="E64" i="2"/>
  <c r="D16" i="9" l="1"/>
  <c r="D17" i="9" s="1"/>
  <c r="E22" i="9"/>
  <c r="J25" i="69"/>
  <c r="J27" i="69" s="1"/>
  <c r="J47" i="69" s="1"/>
  <c r="H50" i="69"/>
  <c r="H55" i="69"/>
  <c r="H51" i="69"/>
  <c r="H52" i="69"/>
  <c r="I50" i="69"/>
  <c r="I55" i="69"/>
  <c r="I52" i="69"/>
  <c r="I51" i="69"/>
  <c r="F17" i="9"/>
  <c r="E17" i="9"/>
  <c r="F22" i="9"/>
  <c r="F29" i="9" s="1"/>
  <c r="F52" i="9"/>
  <c r="F50" i="9"/>
  <c r="F51" i="9"/>
  <c r="J50" i="37"/>
  <c r="J41" i="37"/>
  <c r="J55" i="37" s="1"/>
  <c r="E88" i="2"/>
  <c r="F88" i="2"/>
  <c r="J55" i="69" l="1"/>
  <c r="J52" i="69"/>
  <c r="J51" i="69"/>
  <c r="J50" i="69"/>
  <c r="J51" i="37"/>
  <c r="J52" i="37"/>
  <c r="E29" i="9"/>
  <c r="I50" i="63"/>
  <c r="I41" i="63"/>
  <c r="I55" i="63" s="1"/>
  <c r="J41" i="63"/>
  <c r="I51" i="63" l="1"/>
  <c r="I52" i="63"/>
  <c r="I53" i="63"/>
  <c r="I41" i="21"/>
  <c r="I37" i="21"/>
  <c r="F48" i="21" s="1"/>
  <c r="F53" i="21" s="1"/>
  <c r="I29" i="21"/>
  <c r="I24" i="21"/>
  <c r="I27" i="21" s="1"/>
  <c r="I47" i="21" s="1"/>
  <c r="I17" i="21"/>
  <c r="I21" i="21"/>
  <c r="I13" i="21"/>
  <c r="I46" i="21"/>
  <c r="I55" i="21" l="1"/>
  <c r="I52" i="21"/>
  <c r="I50" i="21"/>
  <c r="I51" i="21"/>
  <c r="C40" i="17"/>
  <c r="C41" i="17"/>
  <c r="C46" i="17"/>
  <c r="B46" i="17" s="1"/>
  <c r="C42" i="17"/>
  <c r="C37" i="17"/>
  <c r="D47" i="17"/>
  <c r="C22" i="17"/>
  <c r="C29" i="17" s="1"/>
  <c r="C17" i="17"/>
  <c r="C13" i="17"/>
  <c r="J32" i="61" l="1"/>
  <c r="O16" i="61"/>
  <c r="O22" i="61" s="1"/>
  <c r="K16" i="61"/>
  <c r="K22" i="61" s="1"/>
  <c r="O12" i="61"/>
  <c r="K13" i="61" s="1"/>
  <c r="J48" i="61"/>
  <c r="I48" i="61" s="1"/>
  <c r="I53" i="61" s="1"/>
  <c r="J41" i="61"/>
  <c r="J52" i="61" s="1"/>
  <c r="J37" i="61"/>
  <c r="G48" i="61" s="1"/>
  <c r="G53" i="61" s="1"/>
  <c r="J50" i="61"/>
  <c r="J46" i="61"/>
  <c r="I46" i="61" s="1"/>
  <c r="J22" i="61"/>
  <c r="J17" i="61"/>
  <c r="J13" i="61"/>
  <c r="J29" i="61" l="1"/>
  <c r="H24" i="61"/>
  <c r="H27" i="61" s="1"/>
  <c r="H47" i="61" s="1"/>
  <c r="G24" i="61"/>
  <c r="H46" i="61"/>
  <c r="J53" i="61"/>
  <c r="J55" i="61"/>
  <c r="K17" i="61"/>
  <c r="O17" i="61"/>
  <c r="J51" i="61"/>
  <c r="J41" i="54"/>
  <c r="M47" i="54"/>
  <c r="J33" i="54"/>
  <c r="J37" i="54"/>
  <c r="J22" i="54"/>
  <c r="J29" i="54" s="1"/>
  <c r="J17" i="54"/>
  <c r="J13" i="54"/>
  <c r="J47" i="54"/>
  <c r="J46" i="54"/>
  <c r="K40" i="54"/>
  <c r="K41" i="54" s="1"/>
  <c r="G25" i="61" l="1"/>
  <c r="G27" i="61" s="1"/>
  <c r="G47" i="61" s="1"/>
  <c r="H50" i="61"/>
  <c r="H55" i="61"/>
  <c r="H51" i="61"/>
  <c r="H52" i="61"/>
  <c r="G48" i="54"/>
  <c r="G53" i="54" s="1"/>
  <c r="J34" i="54"/>
  <c r="L47" i="54"/>
  <c r="J50" i="54"/>
  <c r="J51" i="54"/>
  <c r="J52" i="54"/>
  <c r="B41" i="57"/>
  <c r="B40" i="57" s="1"/>
  <c r="B46" i="57"/>
  <c r="B37" i="57"/>
  <c r="B22" i="57"/>
  <c r="B17" i="57"/>
  <c r="B13" i="57"/>
  <c r="G50" i="61" l="1"/>
  <c r="G52" i="61"/>
  <c r="G51" i="61"/>
  <c r="G55" i="61"/>
  <c r="B29" i="57"/>
  <c r="H22" i="59"/>
  <c r="H17" i="59"/>
  <c r="H13" i="59"/>
  <c r="H29" i="59" l="1"/>
  <c r="H34" i="59" s="1"/>
  <c r="J40" i="13"/>
  <c r="J41" i="13" s="1"/>
  <c r="J37" i="13"/>
  <c r="G48" i="13" s="1"/>
  <c r="G53" i="13" s="1"/>
  <c r="J29" i="13"/>
  <c r="J24" i="13"/>
  <c r="J25" i="13" s="1"/>
  <c r="J21" i="13"/>
  <c r="J33" i="13" s="1"/>
  <c r="J17" i="13"/>
  <c r="J13" i="13"/>
  <c r="J55" i="13"/>
  <c r="J47" i="13"/>
  <c r="J34" i="13" l="1"/>
  <c r="J51" i="13"/>
  <c r="J52" i="13"/>
  <c r="J50" i="13"/>
  <c r="J40" i="7"/>
  <c r="I39" i="7"/>
  <c r="I41" i="7" s="1"/>
  <c r="I37" i="7"/>
  <c r="F48" i="7" s="1"/>
  <c r="F53" i="7" s="1"/>
  <c r="I22" i="7"/>
  <c r="F24" i="7" s="1"/>
  <c r="F27" i="7" s="1"/>
  <c r="F47" i="7" s="1"/>
  <c r="I17" i="7"/>
  <c r="I13" i="7"/>
  <c r="F55" i="7" l="1"/>
  <c r="F50" i="7"/>
  <c r="F52" i="7"/>
  <c r="F51" i="7"/>
  <c r="I29" i="7"/>
  <c r="J31" i="30"/>
  <c r="I31" i="30" s="1"/>
  <c r="N31" i="30"/>
  <c r="M31" i="30" s="1"/>
  <c r="J30" i="30"/>
  <c r="I30" i="30" s="1"/>
  <c r="J35" i="30"/>
  <c r="I35" i="30" s="1"/>
  <c r="J36" i="30"/>
  <c r="I36" i="30" s="1"/>
  <c r="N36" i="30"/>
  <c r="N35" i="30"/>
  <c r="M35" i="30" s="1"/>
  <c r="J46" i="30"/>
  <c r="J40" i="30"/>
  <c r="J41" i="30" s="1"/>
  <c r="J22" i="30"/>
  <c r="G24" i="30" s="1"/>
  <c r="G25" i="30" s="1"/>
  <c r="G27" i="30" s="1"/>
  <c r="G47" i="30" s="1"/>
  <c r="J17" i="30"/>
  <c r="J13" i="30"/>
  <c r="G50" i="30" l="1"/>
  <c r="G52" i="30"/>
  <c r="G51" i="30"/>
  <c r="I37" i="30"/>
  <c r="J37" i="30"/>
  <c r="J29" i="30"/>
  <c r="G46" i="64"/>
  <c r="G41" i="64"/>
  <c r="G37" i="64"/>
  <c r="D48" i="64" s="1"/>
  <c r="D53" i="64" s="1"/>
  <c r="G29" i="64"/>
  <c r="G34" i="64" s="1"/>
  <c r="G17" i="64"/>
  <c r="G13" i="64"/>
  <c r="G48" i="30" l="1"/>
  <c r="G53" i="30" s="1"/>
  <c r="F48" i="30"/>
  <c r="F53" i="30" s="1"/>
  <c r="J41" i="68"/>
  <c r="J55" i="68" s="1"/>
  <c r="O55" i="68"/>
  <c r="K10" i="68"/>
  <c r="L10" i="68" s="1"/>
  <c r="M10" i="68" s="1"/>
  <c r="N10" i="68" s="1"/>
  <c r="O10" i="68" s="1"/>
  <c r="J53" i="68" l="1"/>
  <c r="I27" i="68"/>
  <c r="H27" i="68"/>
  <c r="H47" i="68" s="1"/>
  <c r="I53" i="68"/>
  <c r="H53" i="68"/>
  <c r="J52" i="68"/>
  <c r="J51" i="68"/>
  <c r="J50" i="68"/>
  <c r="J46" i="67"/>
  <c r="J41" i="67"/>
  <c r="O55" i="67"/>
  <c r="O37" i="67"/>
  <c r="N37" i="67"/>
  <c r="M37" i="67"/>
  <c r="L37" i="67"/>
  <c r="K37" i="67"/>
  <c r="J37" i="67"/>
  <c r="G48" i="67" s="1"/>
  <c r="G53" i="67" s="1"/>
  <c r="O22" i="67"/>
  <c r="O29" i="67" s="1"/>
  <c r="N22" i="67"/>
  <c r="N29" i="67" s="1"/>
  <c r="M22" i="67"/>
  <c r="L22" i="67"/>
  <c r="L29" i="67" s="1"/>
  <c r="K22" i="67"/>
  <c r="K29" i="67" s="1"/>
  <c r="J22" i="67"/>
  <c r="G24" i="67" s="1"/>
  <c r="G27" i="67" s="1"/>
  <c r="G47" i="67" s="1"/>
  <c r="G55" i="67" s="1"/>
  <c r="O17" i="67"/>
  <c r="N17" i="67"/>
  <c r="M17" i="67"/>
  <c r="L17" i="67"/>
  <c r="K17" i="67"/>
  <c r="J17" i="67"/>
  <c r="K13" i="67"/>
  <c r="J13" i="67"/>
  <c r="K10" i="67"/>
  <c r="L10" i="67" s="1"/>
  <c r="M10" i="67" s="1"/>
  <c r="N10" i="67" s="1"/>
  <c r="O10" i="67" s="1"/>
  <c r="O59" i="2"/>
  <c r="I47" i="68" l="1"/>
  <c r="G52" i="67"/>
  <c r="G51" i="67"/>
  <c r="G50" i="67"/>
  <c r="H48" i="67"/>
  <c r="H53" i="67" s="1"/>
  <c r="I48" i="67"/>
  <c r="I53" i="67" s="1"/>
  <c r="J48" i="67"/>
  <c r="J53" i="67" s="1"/>
  <c r="H50" i="68"/>
  <c r="H55" i="68"/>
  <c r="H52" i="68"/>
  <c r="H51" i="68"/>
  <c r="J29" i="67"/>
  <c r="I24" i="67"/>
  <c r="H24" i="67"/>
  <c r="H27" i="67" s="1"/>
  <c r="H47" i="67" s="1"/>
  <c r="J24" i="67"/>
  <c r="K24" i="67"/>
  <c r="K27" i="67" s="1"/>
  <c r="M29" i="67"/>
  <c r="F24" i="65"/>
  <c r="G24" i="65"/>
  <c r="E41" i="65"/>
  <c r="E37" i="65"/>
  <c r="E29" i="65"/>
  <c r="E25" i="65"/>
  <c r="E27" i="65" s="1"/>
  <c r="E47" i="65" s="1"/>
  <c r="E17" i="65"/>
  <c r="E13" i="65"/>
  <c r="J17" i="2"/>
  <c r="O17" i="2"/>
  <c r="I51" i="68" l="1"/>
  <c r="I50" i="68"/>
  <c r="I55" i="68"/>
  <c r="I52" i="68"/>
  <c r="H50" i="67"/>
  <c r="H51" i="67"/>
  <c r="H55" i="67"/>
  <c r="H52" i="67"/>
  <c r="J25" i="67"/>
  <c r="I25" i="67" s="1"/>
  <c r="I27" i="67" s="1"/>
  <c r="I47" i="67" s="1"/>
  <c r="E52" i="65"/>
  <c r="E55" i="65"/>
  <c r="E51" i="65"/>
  <c r="E50" i="65"/>
  <c r="I40" i="39"/>
  <c r="I41" i="39" s="1"/>
  <c r="I33" i="39"/>
  <c r="I17" i="39"/>
  <c r="I13" i="39"/>
  <c r="J59" i="2"/>
  <c r="C59" i="2"/>
  <c r="I17" i="2"/>
  <c r="I50" i="67" l="1"/>
  <c r="I55" i="67"/>
  <c r="I51" i="67"/>
  <c r="I52" i="67"/>
  <c r="J27" i="67"/>
  <c r="J47" i="67" s="1"/>
  <c r="I29" i="39"/>
  <c r="G16" i="36"/>
  <c r="G17" i="36" s="1"/>
  <c r="G21" i="36"/>
  <c r="G33" i="36" s="1"/>
  <c r="G30" i="36"/>
  <c r="F30" i="36" s="1"/>
  <c r="E30" i="36" s="1"/>
  <c r="E31" i="36"/>
  <c r="G32" i="36"/>
  <c r="F32" i="36" s="1"/>
  <c r="E32" i="36" s="1"/>
  <c r="K32" i="36"/>
  <c r="J32" i="36" s="1"/>
  <c r="I32" i="36" s="1"/>
  <c r="G35" i="36"/>
  <c r="F35" i="36" s="1"/>
  <c r="G36" i="36"/>
  <c r="F36" i="36" s="1"/>
  <c r="E36" i="36" s="1"/>
  <c r="K16" i="36"/>
  <c r="G13" i="36"/>
  <c r="G40" i="36"/>
  <c r="G41" i="36" s="1"/>
  <c r="G44" i="36"/>
  <c r="C69" i="2"/>
  <c r="G37" i="36" l="1"/>
  <c r="G22" i="36"/>
  <c r="J55" i="67"/>
  <c r="J51" i="67"/>
  <c r="J52" i="67"/>
  <c r="J50" i="67"/>
  <c r="G29" i="36"/>
  <c r="G34" i="36" s="1"/>
  <c r="E35" i="36"/>
  <c r="F37" i="36"/>
  <c r="F34" i="36"/>
  <c r="I40" i="38"/>
  <c r="I41" i="38" s="1"/>
  <c r="I22" i="38"/>
  <c r="I17" i="38"/>
  <c r="J22" i="38"/>
  <c r="K22" i="38"/>
  <c r="L22" i="38"/>
  <c r="M22" i="38"/>
  <c r="N22" i="38"/>
  <c r="I13" i="38"/>
  <c r="I46" i="38"/>
  <c r="I59" i="2"/>
  <c r="I29" i="38" l="1"/>
  <c r="I37" i="38" s="1"/>
  <c r="F48" i="38" s="1"/>
  <c r="F53" i="38" s="1"/>
  <c r="F24" i="38"/>
  <c r="F27" i="38" s="1"/>
  <c r="F47" i="38" s="1"/>
  <c r="G24" i="38"/>
  <c r="G27" i="38" s="1"/>
  <c r="G47" i="38" s="1"/>
  <c r="H24" i="38"/>
  <c r="H27" i="38" s="1"/>
  <c r="H47" i="38" s="1"/>
  <c r="I24" i="38"/>
  <c r="I27" i="38" s="1"/>
  <c r="E37" i="36"/>
  <c r="J37" i="43"/>
  <c r="G48" i="43" s="1"/>
  <c r="G53" i="43" s="1"/>
  <c r="J13" i="43"/>
  <c r="J29" i="43"/>
  <c r="J34" i="43" s="1"/>
  <c r="J17" i="43"/>
  <c r="J42" i="43"/>
  <c r="J46" i="43"/>
  <c r="E17" i="2"/>
  <c r="E59" i="2"/>
  <c r="F17" i="2"/>
  <c r="C17" i="2"/>
  <c r="B48" i="36" l="1"/>
  <c r="B53" i="36" s="1"/>
  <c r="D48" i="36"/>
  <c r="D53" i="36" s="1"/>
  <c r="C48" i="36"/>
  <c r="C53" i="36" s="1"/>
  <c r="F50" i="38"/>
  <c r="F55" i="38"/>
  <c r="F51" i="38"/>
  <c r="F52" i="38"/>
  <c r="I47" i="38"/>
  <c r="H55" i="38"/>
  <c r="H51" i="38"/>
  <c r="H52" i="38"/>
  <c r="H50" i="38"/>
  <c r="G55" i="38"/>
  <c r="G50" i="38"/>
  <c r="G51" i="38"/>
  <c r="G52" i="38"/>
  <c r="J40" i="20"/>
  <c r="J41" i="20"/>
  <c r="J46" i="20"/>
  <c r="J37" i="20"/>
  <c r="J22" i="20"/>
  <c r="J17" i="20"/>
  <c r="J13" i="20"/>
  <c r="F59" i="2"/>
  <c r="G24" i="20" l="1"/>
  <c r="I51" i="38"/>
  <c r="I55" i="38"/>
  <c r="I52" i="38"/>
  <c r="I50" i="38"/>
  <c r="J29" i="20"/>
  <c r="J41" i="25"/>
  <c r="J37" i="25"/>
  <c r="G48" i="25" s="1"/>
  <c r="G53" i="25" s="1"/>
  <c r="J22" i="25"/>
  <c r="G24" i="25" s="1"/>
  <c r="J17" i="25"/>
  <c r="J13" i="25"/>
  <c r="G25" i="25" l="1"/>
  <c r="G27" i="25"/>
  <c r="G47" i="25" s="1"/>
  <c r="G26" i="20"/>
  <c r="G27" i="20" s="1"/>
  <c r="G47" i="20" s="1"/>
  <c r="J29" i="25"/>
  <c r="N32" i="45"/>
  <c r="J41" i="45"/>
  <c r="J22" i="45"/>
  <c r="J29" i="45" s="1"/>
  <c r="J17" i="45"/>
  <c r="J30" i="45"/>
  <c r="J31" i="45"/>
  <c r="H31" i="45" s="1"/>
  <c r="N30" i="45"/>
  <c r="J32" i="45"/>
  <c r="H32" i="45" s="1"/>
  <c r="J37" i="45"/>
  <c r="J13" i="45"/>
  <c r="G52" i="25" l="1"/>
  <c r="G50" i="25"/>
  <c r="G51" i="25"/>
  <c r="G50" i="20"/>
  <c r="G51" i="20"/>
  <c r="G55" i="20"/>
  <c r="G52" i="20"/>
  <c r="G48" i="45"/>
  <c r="G53" i="45" s="1"/>
  <c r="G24" i="45"/>
  <c r="N36" i="24"/>
  <c r="G41" i="24"/>
  <c r="G37" i="24"/>
  <c r="G22" i="24"/>
  <c r="D24" i="24" s="1"/>
  <c r="H22" i="24"/>
  <c r="E24" i="24" s="1"/>
  <c r="J22" i="24"/>
  <c r="K22" i="24"/>
  <c r="L22" i="24"/>
  <c r="M16" i="24"/>
  <c r="M22" i="24" s="1"/>
  <c r="N22" i="24"/>
  <c r="N29" i="24" s="1"/>
  <c r="N35" i="24" s="1"/>
  <c r="I22" i="24"/>
  <c r="G17" i="24"/>
  <c r="G13" i="24"/>
  <c r="D48" i="24" l="1"/>
  <c r="D53" i="24" s="1"/>
  <c r="D25" i="24"/>
  <c r="D27" i="24"/>
  <c r="E25" i="24"/>
  <c r="E27" i="24" s="1"/>
  <c r="E47" i="24" s="1"/>
  <c r="E41" i="24" s="1"/>
  <c r="G25" i="45"/>
  <c r="G27" i="45" s="1"/>
  <c r="G47" i="45" s="1"/>
  <c r="N37" i="24"/>
  <c r="F24" i="24"/>
  <c r="G29" i="24"/>
  <c r="G24" i="24"/>
  <c r="F32" i="58"/>
  <c r="B46" i="58"/>
  <c r="B37" i="58"/>
  <c r="B32" i="58"/>
  <c r="B17" i="58"/>
  <c r="B22" i="58"/>
  <c r="B29" i="58" s="1"/>
  <c r="B13" i="58"/>
  <c r="D47" i="24" l="1"/>
  <c r="E52" i="24"/>
  <c r="E40" i="24"/>
  <c r="E50" i="24" s="1"/>
  <c r="E51" i="24"/>
  <c r="G50" i="45"/>
  <c r="G52" i="45"/>
  <c r="G51" i="45"/>
  <c r="G55" i="45"/>
  <c r="F25" i="24"/>
  <c r="F27" i="24" s="1"/>
  <c r="F47" i="24" s="1"/>
  <c r="G25" i="24"/>
  <c r="G27" i="24" s="1"/>
  <c r="G47" i="24" s="1"/>
  <c r="J22" i="44"/>
  <c r="J17" i="44"/>
  <c r="J36" i="44"/>
  <c r="I36" i="44" s="1"/>
  <c r="J35" i="44"/>
  <c r="I35" i="44" s="1"/>
  <c r="N31" i="44"/>
  <c r="M31" i="44" s="1"/>
  <c r="J31" i="44"/>
  <c r="I31" i="44" s="1"/>
  <c r="J30" i="44"/>
  <c r="I30" i="44" s="1"/>
  <c r="J42" i="44"/>
  <c r="J41" i="44"/>
  <c r="J13" i="44"/>
  <c r="D52" i="24" l="1"/>
  <c r="D51" i="24"/>
  <c r="D50" i="24"/>
  <c r="J29" i="44"/>
  <c r="J37" i="44"/>
  <c r="H37" i="44"/>
  <c r="I37" i="44"/>
  <c r="F52" i="24"/>
  <c r="F50" i="24"/>
  <c r="F51" i="24"/>
  <c r="G50" i="24"/>
  <c r="G51" i="24"/>
  <c r="G52" i="24"/>
  <c r="G48" i="44" l="1"/>
  <c r="G53" i="44" s="1"/>
  <c r="F48" i="44"/>
  <c r="F53" i="44" s="1"/>
  <c r="E48" i="44"/>
  <c r="E53" i="44" s="1"/>
  <c r="F40" i="53"/>
  <c r="E40" i="53"/>
  <c r="E41" i="53" s="1"/>
  <c r="G24" i="53"/>
  <c r="G25" i="53" s="1"/>
  <c r="F24" i="53"/>
  <c r="F25" i="53" s="1"/>
  <c r="E24" i="53"/>
  <c r="E29" i="53"/>
  <c r="E34" i="53" s="1"/>
  <c r="I29" i="53"/>
  <c r="I34" i="53" s="1"/>
  <c r="E13" i="53"/>
  <c r="E25" i="53" l="1"/>
  <c r="E27" i="53" s="1"/>
  <c r="E47" i="53" s="1"/>
  <c r="G27" i="53"/>
  <c r="F27" i="53"/>
  <c r="F47" i="53" s="1"/>
  <c r="J40" i="50"/>
  <c r="J41" i="50" s="1"/>
  <c r="J37" i="50"/>
  <c r="G48" i="50" s="1"/>
  <c r="G53" i="50" s="1"/>
  <c r="J17" i="50"/>
  <c r="J22" i="50"/>
  <c r="G24" i="50" s="1"/>
  <c r="G27" i="50" s="1"/>
  <c r="G47" i="50" s="1"/>
  <c r="J13" i="50"/>
  <c r="J46" i="50"/>
  <c r="G50" i="50" l="1"/>
  <c r="G51" i="50"/>
  <c r="G55" i="50"/>
  <c r="G52" i="50"/>
  <c r="E51" i="53"/>
  <c r="E50" i="53"/>
  <c r="E52" i="53"/>
  <c r="E55" i="53"/>
  <c r="J29" i="50"/>
  <c r="J26" i="49"/>
  <c r="J41" i="49"/>
  <c r="J37" i="49"/>
  <c r="N12" i="49"/>
  <c r="J22" i="49"/>
  <c r="G24" i="49" s="1"/>
  <c r="J17" i="49"/>
  <c r="J13" i="49"/>
  <c r="G25" i="49" l="1"/>
  <c r="G27" i="49" s="1"/>
  <c r="G47" i="49" s="1"/>
  <c r="J29" i="49"/>
  <c r="J34" i="49" s="1"/>
  <c r="M37" i="49"/>
  <c r="N36" i="6"/>
  <c r="N32" i="6"/>
  <c r="M32" i="6" s="1"/>
  <c r="I32" i="6"/>
  <c r="J41" i="6"/>
  <c r="N35" i="6"/>
  <c r="I35" i="6"/>
  <c r="J22" i="6"/>
  <c r="J17" i="6"/>
  <c r="J36" i="6"/>
  <c r="I36" i="6" s="1"/>
  <c r="J13" i="6"/>
  <c r="J29" i="6" l="1"/>
  <c r="G24" i="6"/>
  <c r="G26" i="6" s="1"/>
  <c r="G27" i="6" s="1"/>
  <c r="G47" i="6" s="1"/>
  <c r="G51" i="49"/>
  <c r="G50" i="49"/>
  <c r="G55" i="49"/>
  <c r="G52" i="49"/>
  <c r="J37" i="6"/>
  <c r="I37" i="6"/>
  <c r="F37" i="60"/>
  <c r="F41" i="60"/>
  <c r="F40" i="60"/>
  <c r="F29" i="60"/>
  <c r="H27" i="60"/>
  <c r="F17" i="60"/>
  <c r="F13" i="60"/>
  <c r="G55" i="6" l="1"/>
  <c r="G50" i="6"/>
  <c r="G51" i="6"/>
  <c r="G52" i="6"/>
  <c r="G48" i="6"/>
  <c r="G53" i="6" s="1"/>
  <c r="F48" i="6"/>
  <c r="J40" i="47"/>
  <c r="J41" i="47" s="1"/>
  <c r="J37" i="47"/>
  <c r="J29" i="47"/>
  <c r="J24" i="47"/>
  <c r="J26" i="47" s="1"/>
  <c r="J33" i="47"/>
  <c r="J13" i="47"/>
  <c r="J34" i="47" l="1"/>
  <c r="E27" i="60"/>
  <c r="E47" i="60" s="1"/>
  <c r="J27" i="47"/>
  <c r="J47" i="47" s="1"/>
  <c r="J52" i="47" s="1"/>
  <c r="H40" i="34"/>
  <c r="H39" i="34"/>
  <c r="H41" i="34"/>
  <c r="H35" i="34"/>
  <c r="G35" i="34" s="1"/>
  <c r="H36" i="34"/>
  <c r="G36" i="34" s="1"/>
  <c r="F36" i="34" s="1"/>
  <c r="H22" i="34"/>
  <c r="E24" i="34" s="1"/>
  <c r="E27" i="34" s="1"/>
  <c r="E47" i="34" s="1"/>
  <c r="H31" i="34"/>
  <c r="G31" i="34" s="1"/>
  <c r="F31" i="34" s="1"/>
  <c r="H30" i="34"/>
  <c r="G30" i="34" s="1"/>
  <c r="F30" i="34" s="1"/>
  <c r="H12" i="34"/>
  <c r="D13" i="34" s="1"/>
  <c r="H55" i="34"/>
  <c r="J50" i="47" l="1"/>
  <c r="E52" i="34"/>
  <c r="E50" i="34"/>
  <c r="E51" i="34"/>
  <c r="J51" i="47"/>
  <c r="F12" i="34"/>
  <c r="F35" i="34"/>
  <c r="F37" i="34" s="1"/>
  <c r="G37" i="34"/>
  <c r="H17" i="34"/>
  <c r="H29" i="34"/>
  <c r="H37" i="34"/>
  <c r="J55" i="47"/>
  <c r="E52" i="60"/>
  <c r="E50" i="60"/>
  <c r="E55" i="60"/>
  <c r="E51" i="60"/>
  <c r="J41" i="12"/>
  <c r="J55" i="12" s="1"/>
  <c r="J37" i="12"/>
  <c r="J22" i="12"/>
  <c r="J17" i="12"/>
  <c r="J13" i="12"/>
  <c r="J50" i="12"/>
  <c r="E48" i="34" l="1"/>
  <c r="E53" i="34" s="1"/>
  <c r="C48" i="34"/>
  <c r="C53" i="34" s="1"/>
  <c r="D48" i="34"/>
  <c r="D53" i="34" s="1"/>
  <c r="D46" i="34"/>
  <c r="C46" i="34"/>
  <c r="E46" i="34"/>
  <c r="J51" i="12"/>
  <c r="J29" i="12"/>
  <c r="J52" i="12"/>
  <c r="F17" i="34"/>
  <c r="F46" i="34"/>
  <c r="N16" i="11"/>
  <c r="M16" i="11" s="1"/>
  <c r="L16" i="11" s="1"/>
  <c r="J20" i="11"/>
  <c r="J33" i="11" s="1"/>
  <c r="N22" i="11"/>
  <c r="M22" i="11" s="1"/>
  <c r="L22" i="11" s="1"/>
  <c r="N12" i="11"/>
  <c r="M12" i="11" s="1"/>
  <c r="L12" i="11" s="1"/>
  <c r="N35" i="11"/>
  <c r="J36" i="11"/>
  <c r="J35" i="11"/>
  <c r="I35" i="11" s="1"/>
  <c r="H35" i="11" s="1"/>
  <c r="J41" i="11"/>
  <c r="K40" i="11"/>
  <c r="K41" i="11" s="1"/>
  <c r="F24" i="11" l="1"/>
  <c r="F25" i="11" s="1"/>
  <c r="F27" i="11" s="1"/>
  <c r="F47" i="11" s="1"/>
  <c r="F55" i="11" s="1"/>
  <c r="E24" i="11"/>
  <c r="H33" i="11"/>
  <c r="F50" i="11"/>
  <c r="F51" i="11"/>
  <c r="F52" i="11"/>
  <c r="G24" i="11"/>
  <c r="G25" i="11" s="1"/>
  <c r="G27" i="11" s="1"/>
  <c r="G47" i="11" s="1"/>
  <c r="H29" i="11"/>
  <c r="H24" i="11"/>
  <c r="H13" i="11"/>
  <c r="H17" i="11"/>
  <c r="H46" i="11"/>
  <c r="I17" i="11"/>
  <c r="J17" i="11"/>
  <c r="J29" i="11"/>
  <c r="J24" i="11"/>
  <c r="J25" i="11" s="1"/>
  <c r="J27" i="11" s="1"/>
  <c r="J47" i="11" s="1"/>
  <c r="J50" i="11" s="1"/>
  <c r="J13" i="11"/>
  <c r="J37" i="11"/>
  <c r="I36" i="11"/>
  <c r="I37" i="11" s="1"/>
  <c r="I13" i="11"/>
  <c r="I29" i="11"/>
  <c r="I24" i="11"/>
  <c r="I20" i="11"/>
  <c r="I33" i="11" s="1"/>
  <c r="C41" i="26"/>
  <c r="C33" i="26"/>
  <c r="C22" i="26"/>
  <c r="C29" i="26" s="1"/>
  <c r="C34" i="26" s="1"/>
  <c r="C17" i="26"/>
  <c r="C13" i="26"/>
  <c r="H36" i="11" l="1"/>
  <c r="H37" i="11" s="1"/>
  <c r="E25" i="11"/>
  <c r="E27" i="11" s="1"/>
  <c r="E47" i="11" s="1"/>
  <c r="H25" i="11"/>
  <c r="H27" i="11" s="1"/>
  <c r="H47" i="11" s="1"/>
  <c r="G50" i="11"/>
  <c r="G55" i="11"/>
  <c r="G52" i="11"/>
  <c r="G51" i="11"/>
  <c r="J55" i="11"/>
  <c r="J52" i="11"/>
  <c r="J51" i="11"/>
  <c r="I25" i="11"/>
  <c r="I27" i="11" s="1"/>
  <c r="I47" i="11" s="1"/>
  <c r="I40" i="40"/>
  <c r="I41" i="40" s="1"/>
  <c r="I32" i="40"/>
  <c r="I37" i="40"/>
  <c r="I22" i="40"/>
  <c r="I17" i="40"/>
  <c r="I13" i="40"/>
  <c r="I55" i="40"/>
  <c r="F48" i="11" l="1"/>
  <c r="F53" i="11" s="1"/>
  <c r="E48" i="11"/>
  <c r="E53" i="11" s="1"/>
  <c r="G48" i="11"/>
  <c r="G53" i="11" s="1"/>
  <c r="I29" i="40"/>
  <c r="I34" i="40" s="1"/>
  <c r="F24" i="40"/>
  <c r="F48" i="40"/>
  <c r="F53" i="40" s="1"/>
  <c r="E55" i="11"/>
  <c r="E51" i="11"/>
  <c r="E52" i="11"/>
  <c r="E50" i="11"/>
  <c r="H55" i="11"/>
  <c r="H50" i="11"/>
  <c r="H52" i="11"/>
  <c r="H51" i="11"/>
  <c r="I50" i="11"/>
  <c r="I55" i="11"/>
  <c r="I52" i="11"/>
  <c r="I51" i="11"/>
  <c r="J41" i="41"/>
  <c r="J37" i="41"/>
  <c r="G48" i="41" s="1"/>
  <c r="G53" i="41" s="1"/>
  <c r="J22" i="41"/>
  <c r="G24" i="41" s="1"/>
  <c r="G27" i="41" s="1"/>
  <c r="G47" i="41" s="1"/>
  <c r="J17" i="41"/>
  <c r="J46" i="41"/>
  <c r="J13" i="41"/>
  <c r="F25" i="40" l="1"/>
  <c r="F27" i="40" s="1"/>
  <c r="F47" i="40" s="1"/>
  <c r="G52" i="41"/>
  <c r="G50" i="41"/>
  <c r="G51" i="41"/>
  <c r="G55" i="41"/>
  <c r="J29" i="41"/>
  <c r="J34" i="41" s="1"/>
  <c r="E37" i="35"/>
  <c r="B48" i="35" s="1"/>
  <c r="B53" i="35" s="1"/>
  <c r="E40" i="35"/>
  <c r="E41" i="35" s="1"/>
  <c r="E29" i="35"/>
  <c r="E34" i="35" s="1"/>
  <c r="E17" i="35"/>
  <c r="E13" i="35"/>
  <c r="F52" i="40" l="1"/>
  <c r="F50" i="40"/>
  <c r="F51" i="40"/>
  <c r="H41" i="66"/>
  <c r="O55" i="66"/>
  <c r="N55" i="66"/>
  <c r="M55" i="66"/>
  <c r="O37" i="66"/>
  <c r="N37" i="66"/>
  <c r="M37" i="66"/>
  <c r="L37" i="66"/>
  <c r="H37" i="66"/>
  <c r="O22" i="66"/>
  <c r="O29" i="66" s="1"/>
  <c r="N22" i="66"/>
  <c r="N29" i="66" s="1"/>
  <c r="M22" i="66"/>
  <c r="L22" i="66"/>
  <c r="H22" i="66"/>
  <c r="O17" i="66"/>
  <c r="N17" i="66"/>
  <c r="M17" i="66"/>
  <c r="H17" i="66"/>
  <c r="I10" i="66"/>
  <c r="J10" i="66" s="1"/>
  <c r="K10" i="66" s="1"/>
  <c r="L10" i="66" s="1"/>
  <c r="M10" i="66" s="1"/>
  <c r="N10" i="66" s="1"/>
  <c r="O10" i="66" s="1"/>
  <c r="P10" i="66" s="1"/>
  <c r="O61" i="2"/>
  <c r="I61" i="2"/>
  <c r="F48" i="66" l="1"/>
  <c r="F53" i="66" s="1"/>
  <c r="E48" i="66"/>
  <c r="E53" i="66" s="1"/>
  <c r="K24" i="66"/>
  <c r="K27" i="66" s="1"/>
  <c r="H48" i="66"/>
  <c r="H53" i="66" s="1"/>
  <c r="H25" i="66"/>
  <c r="H27" i="66" s="1"/>
  <c r="H47" i="66" s="1"/>
  <c r="M29" i="66"/>
  <c r="M24" i="66"/>
  <c r="M27" i="66" s="1"/>
  <c r="G27" i="66"/>
  <c r="G47" i="66" s="1"/>
  <c r="L24" i="66"/>
  <c r="L27" i="66" s="1"/>
  <c r="L29" i="66"/>
  <c r="H29" i="66"/>
  <c r="I16" i="27"/>
  <c r="I17" i="27" s="1"/>
  <c r="J21" i="27"/>
  <c r="K21" i="27"/>
  <c r="I36" i="27"/>
  <c r="H36" i="27" s="1"/>
  <c r="I35" i="27"/>
  <c r="M32" i="27"/>
  <c r="L32" i="27" s="1"/>
  <c r="I30" i="27"/>
  <c r="H30" i="27" s="1"/>
  <c r="I31" i="27"/>
  <c r="H31" i="27" s="1"/>
  <c r="M30" i="27"/>
  <c r="L30" i="27" s="1"/>
  <c r="M31" i="27"/>
  <c r="L31" i="27" s="1"/>
  <c r="I41" i="27"/>
  <c r="I29" i="27"/>
  <c r="I24" i="27"/>
  <c r="I27" i="27" s="1"/>
  <c r="I47" i="27" s="1"/>
  <c r="I50" i="27" s="1"/>
  <c r="I13" i="27"/>
  <c r="C61" i="2"/>
  <c r="H52" i="66" l="1"/>
  <c r="H50" i="66"/>
  <c r="H55" i="66"/>
  <c r="H51" i="66"/>
  <c r="H35" i="27"/>
  <c r="H37" i="27" s="1"/>
  <c r="I37" i="27"/>
  <c r="G52" i="66"/>
  <c r="G50" i="66"/>
  <c r="G55" i="66"/>
  <c r="G51" i="66"/>
  <c r="I55" i="27"/>
  <c r="I51" i="27"/>
  <c r="I52" i="27"/>
  <c r="B40" i="55"/>
  <c r="B41" i="55" s="1"/>
  <c r="F30" i="55"/>
  <c r="F31" i="55"/>
  <c r="B31" i="55"/>
  <c r="B30" i="55"/>
  <c r="B22" i="55"/>
  <c r="B29" i="55" s="1"/>
  <c r="B17" i="55"/>
  <c r="F35" i="55"/>
  <c r="B36" i="55"/>
  <c r="B35" i="55"/>
  <c r="B37" i="55" s="1"/>
  <c r="F36" i="55"/>
  <c r="B13" i="55"/>
  <c r="F61" i="2"/>
  <c r="E61" i="2"/>
  <c r="J61" i="2"/>
  <c r="F48" i="27" l="1"/>
  <c r="F53" i="27" s="1"/>
  <c r="E48" i="27"/>
  <c r="E53" i="27" s="1"/>
  <c r="C40" i="48"/>
  <c r="C41" i="48" s="1"/>
  <c r="C37" i="48"/>
  <c r="C22" i="48"/>
  <c r="C17" i="48"/>
  <c r="C13" i="48"/>
  <c r="C55" i="48"/>
  <c r="C46" i="48"/>
  <c r="C29" i="48" l="1"/>
  <c r="C34" i="48" s="1"/>
  <c r="I46" i="5"/>
  <c r="I40" i="5"/>
  <c r="I41" i="5" s="1"/>
  <c r="I37" i="5"/>
  <c r="F48" i="5" s="1"/>
  <c r="F53" i="5" s="1"/>
  <c r="I22" i="5"/>
  <c r="F24" i="5" s="1"/>
  <c r="F27" i="5" s="1"/>
  <c r="F47" i="5" s="1"/>
  <c r="I17" i="5"/>
  <c r="I13" i="5"/>
  <c r="C114" i="2"/>
  <c r="F55" i="5" l="1"/>
  <c r="F50" i="5"/>
  <c r="F52" i="5"/>
  <c r="F51" i="5"/>
  <c r="I29" i="5"/>
  <c r="I34" i="5" s="1"/>
  <c r="I41" i="28" l="1"/>
  <c r="I46" i="28"/>
  <c r="I37" i="28"/>
  <c r="F48" i="28" s="1"/>
  <c r="F53" i="28" s="1"/>
  <c r="I33" i="28"/>
  <c r="I17" i="28"/>
  <c r="I22" i="28"/>
  <c r="I13" i="28"/>
  <c r="I29" i="28" l="1"/>
  <c r="F24" i="28"/>
  <c r="F27" i="28" s="1"/>
  <c r="F47" i="28" s="1"/>
  <c r="I34" i="28"/>
  <c r="I42" i="16"/>
  <c r="I40" i="16"/>
  <c r="I41" i="16" s="1"/>
  <c r="I30" i="16"/>
  <c r="H30" i="16" s="1"/>
  <c r="G30" i="16" s="1"/>
  <c r="I36" i="16"/>
  <c r="I35" i="16"/>
  <c r="H35" i="16" s="1"/>
  <c r="I13" i="16"/>
  <c r="C106" i="2"/>
  <c r="F55" i="28" l="1"/>
  <c r="F52" i="28"/>
  <c r="F51" i="28"/>
  <c r="F50" i="28"/>
  <c r="H36" i="16"/>
  <c r="G36" i="16" s="1"/>
  <c r="G35" i="16"/>
  <c r="H37" i="16"/>
  <c r="I37" i="16"/>
  <c r="F41" i="65"/>
  <c r="J37" i="65"/>
  <c r="I37" i="65"/>
  <c r="E48" i="65" s="1"/>
  <c r="H37" i="65"/>
  <c r="G37" i="65"/>
  <c r="F37" i="65"/>
  <c r="H29" i="65"/>
  <c r="J17" i="65"/>
  <c r="I17" i="65"/>
  <c r="H17" i="65"/>
  <c r="G17" i="65"/>
  <c r="F17" i="65"/>
  <c r="F13" i="65"/>
  <c r="G10" i="65"/>
  <c r="H10" i="65" s="1"/>
  <c r="I10" i="65" s="1"/>
  <c r="J10" i="65" s="1"/>
  <c r="G37" i="16" l="1"/>
  <c r="F53" i="65"/>
  <c r="D48" i="65"/>
  <c r="E53" i="65"/>
  <c r="F25" i="65"/>
  <c r="F27" i="65" s="1"/>
  <c r="F47" i="65" s="1"/>
  <c r="J29" i="65"/>
  <c r="G27" i="65"/>
  <c r="F29" i="65"/>
  <c r="G29" i="65"/>
  <c r="I29" i="65"/>
  <c r="J42" i="23"/>
  <c r="J30" i="23"/>
  <c r="I30" i="23" s="1"/>
  <c r="H30" i="23" s="1"/>
  <c r="J31" i="23"/>
  <c r="I31" i="23" s="1"/>
  <c r="H31" i="23" s="1"/>
  <c r="J36" i="23"/>
  <c r="I36" i="23" s="1"/>
  <c r="H36" i="23" s="1"/>
  <c r="J35" i="23"/>
  <c r="I35" i="23" s="1"/>
  <c r="H35" i="23" s="1"/>
  <c r="H37" i="23" s="1"/>
  <c r="N36" i="23"/>
  <c r="M36" i="23" s="1"/>
  <c r="N35" i="23"/>
  <c r="M35" i="23" s="1"/>
  <c r="J16" i="23"/>
  <c r="N16" i="23"/>
  <c r="N12" i="23"/>
  <c r="J13" i="23" s="1"/>
  <c r="O106" i="2"/>
  <c r="J106" i="2"/>
  <c r="E48" i="23" l="1"/>
  <c r="E53" i="23" s="1"/>
  <c r="D53" i="65"/>
  <c r="C48" i="65"/>
  <c r="F48" i="16"/>
  <c r="F53" i="16" s="1"/>
  <c r="D48" i="16"/>
  <c r="D53" i="16" s="1"/>
  <c r="E48" i="16"/>
  <c r="E53" i="16" s="1"/>
  <c r="J22" i="23"/>
  <c r="J29" i="23" s="1"/>
  <c r="I37" i="23"/>
  <c r="F48" i="23" s="1"/>
  <c r="F53" i="23" s="1"/>
  <c r="J37" i="23"/>
  <c r="J17" i="23"/>
  <c r="F55" i="65"/>
  <c r="F50" i="65"/>
  <c r="F52" i="65"/>
  <c r="F51" i="65"/>
  <c r="E42" i="56"/>
  <c r="E46" i="56"/>
  <c r="F46" i="56"/>
  <c r="E41" i="56"/>
  <c r="E40" i="56"/>
  <c r="I106" i="2"/>
  <c r="G48" i="23" l="1"/>
  <c r="G53" i="23" s="1"/>
  <c r="C53" i="65"/>
  <c r="B48" i="65"/>
  <c r="B53" i="65" s="1"/>
  <c r="E32" i="56"/>
  <c r="E16" i="56"/>
  <c r="E106" i="2"/>
  <c r="F106" i="2"/>
  <c r="E17" i="56" l="1"/>
  <c r="E22" i="56"/>
  <c r="B24" i="56" s="1"/>
  <c r="E33" i="56"/>
  <c r="E36" i="56"/>
  <c r="C36" i="56" s="1"/>
  <c r="E35" i="56"/>
  <c r="C35" i="56" s="1"/>
  <c r="E13" i="56"/>
  <c r="B25" i="56" l="1"/>
  <c r="B26" i="56" s="1"/>
  <c r="B27" i="56"/>
  <c r="B47" i="56" s="1"/>
  <c r="C37" i="56"/>
  <c r="B48" i="56" s="1"/>
  <c r="B53" i="56" s="1"/>
  <c r="C34" i="56"/>
  <c r="E37" i="56"/>
  <c r="E29" i="56"/>
  <c r="E34" i="56" s="1"/>
  <c r="J42" i="8"/>
  <c r="K42" i="8"/>
  <c r="J40" i="8"/>
  <c r="J41" i="8" s="1"/>
  <c r="B55" i="56" l="1"/>
  <c r="B52" i="56"/>
  <c r="B51" i="56"/>
  <c r="B50" i="56"/>
  <c r="J35" i="8"/>
  <c r="I35" i="8" s="1"/>
  <c r="J36" i="8"/>
  <c r="I36" i="8" s="1"/>
  <c r="H36" i="8" s="1"/>
  <c r="J30" i="8"/>
  <c r="I30" i="8" s="1"/>
  <c r="H30" i="8" s="1"/>
  <c r="J31" i="8"/>
  <c r="I31" i="8" s="1"/>
  <c r="H31" i="8" s="1"/>
  <c r="J22" i="8"/>
  <c r="G24" i="8" s="1"/>
  <c r="G27" i="8" s="1"/>
  <c r="G47" i="8" s="1"/>
  <c r="J17" i="8"/>
  <c r="J13" i="8"/>
  <c r="G55" i="8" l="1"/>
  <c r="G50" i="8"/>
  <c r="G51" i="8"/>
  <c r="G52" i="8"/>
  <c r="I37" i="8"/>
  <c r="H35" i="8"/>
  <c r="H37" i="8" s="1"/>
  <c r="J37" i="8"/>
  <c r="J29" i="8"/>
  <c r="M36" i="3"/>
  <c r="G48" i="8" l="1"/>
  <c r="G53" i="8" s="1"/>
  <c r="E48" i="8"/>
  <c r="E53" i="8" s="1"/>
  <c r="F48" i="8"/>
  <c r="F53" i="8" s="1"/>
  <c r="M20" i="3"/>
  <c r="M21" i="3"/>
  <c r="I21" i="3"/>
  <c r="I20" i="3"/>
  <c r="I33" i="3" s="1"/>
  <c r="I30" i="3"/>
  <c r="H30" i="3" s="1"/>
  <c r="G30" i="3" s="1"/>
  <c r="I31" i="3"/>
  <c r="H31" i="3" s="1"/>
  <c r="G31" i="3" s="1"/>
  <c r="I35" i="3"/>
  <c r="H35" i="3" s="1"/>
  <c r="I36" i="3"/>
  <c r="H36" i="3" s="1"/>
  <c r="G36" i="3" s="1"/>
  <c r="I42" i="3"/>
  <c r="I41" i="3"/>
  <c r="I29" i="3"/>
  <c r="I13" i="3"/>
  <c r="I16" i="3" l="1"/>
  <c r="I17" i="3" s="1"/>
  <c r="I37" i="3"/>
  <c r="G35" i="3"/>
  <c r="G37" i="3" s="1"/>
  <c r="H37" i="3"/>
  <c r="L13" i="64"/>
  <c r="P55" i="64"/>
  <c r="P37" i="64"/>
  <c r="P22" i="64"/>
  <c r="P29" i="64" s="1"/>
  <c r="P17" i="64"/>
  <c r="H41" i="64"/>
  <c r="H55" i="64" s="1"/>
  <c r="O55" i="64"/>
  <c r="N55" i="64"/>
  <c r="M55" i="64"/>
  <c r="O37" i="64"/>
  <c r="N37" i="64"/>
  <c r="M37" i="64"/>
  <c r="L37" i="64"/>
  <c r="K37" i="64"/>
  <c r="J37" i="64"/>
  <c r="I37" i="64"/>
  <c r="H37" i="64"/>
  <c r="E48" i="64" s="1"/>
  <c r="E53" i="64" s="1"/>
  <c r="O22" i="64"/>
  <c r="O29" i="64" s="1"/>
  <c r="N22" i="64"/>
  <c r="N29" i="64" s="1"/>
  <c r="M22" i="64"/>
  <c r="M29" i="64" s="1"/>
  <c r="J29" i="64"/>
  <c r="J34" i="64" s="1"/>
  <c r="O17" i="64"/>
  <c r="N17" i="64"/>
  <c r="M17" i="64"/>
  <c r="L17" i="64"/>
  <c r="K17" i="64"/>
  <c r="J17" i="64"/>
  <c r="I17" i="64"/>
  <c r="H17" i="64"/>
  <c r="K13" i="64"/>
  <c r="J13" i="64"/>
  <c r="I13" i="64"/>
  <c r="H13" i="64"/>
  <c r="I10" i="64"/>
  <c r="J10" i="64" s="1"/>
  <c r="K10" i="64" s="1"/>
  <c r="L10" i="64" s="1"/>
  <c r="M10" i="64" s="1"/>
  <c r="N10" i="64" s="1"/>
  <c r="O10" i="64" s="1"/>
  <c r="P10" i="64" s="1"/>
  <c r="O76" i="2"/>
  <c r="F48" i="3" l="1"/>
  <c r="F53" i="3" s="1"/>
  <c r="E48" i="3"/>
  <c r="E53" i="3" s="1"/>
  <c r="L24" i="64"/>
  <c r="L27" i="64" s="1"/>
  <c r="G48" i="64"/>
  <c r="G53" i="64" s="1"/>
  <c r="F48" i="64"/>
  <c r="F53" i="64" s="1"/>
  <c r="H24" i="64"/>
  <c r="H27" i="64" s="1"/>
  <c r="I29" i="64"/>
  <c r="I34" i="64" s="1"/>
  <c r="G24" i="64"/>
  <c r="G27" i="64" s="1"/>
  <c r="G47" i="64" s="1"/>
  <c r="K24" i="64"/>
  <c r="K27" i="64" s="1"/>
  <c r="H29" i="64"/>
  <c r="H34" i="64" s="1"/>
  <c r="L29" i="64"/>
  <c r="L34" i="64" s="1"/>
  <c r="M24" i="64"/>
  <c r="M27" i="64" s="1"/>
  <c r="H53" i="64"/>
  <c r="H52" i="64"/>
  <c r="H51" i="64"/>
  <c r="H50" i="64"/>
  <c r="I24" i="64"/>
  <c r="I27" i="64" s="1"/>
  <c r="K29" i="64"/>
  <c r="K34" i="64" s="1"/>
  <c r="J24" i="64"/>
  <c r="J27" i="64" s="1"/>
  <c r="N13" i="63"/>
  <c r="R37" i="63"/>
  <c r="R22" i="63"/>
  <c r="R29" i="63" s="1"/>
  <c r="R34" i="63" s="1"/>
  <c r="R17" i="63"/>
  <c r="Q55" i="63"/>
  <c r="P55" i="63"/>
  <c r="O55" i="63"/>
  <c r="J55" i="63"/>
  <c r="Q37" i="63"/>
  <c r="P37" i="63"/>
  <c r="O37" i="63"/>
  <c r="N37" i="63"/>
  <c r="M37" i="63"/>
  <c r="L37" i="63"/>
  <c r="K37" i="63"/>
  <c r="J37" i="63"/>
  <c r="J53" i="63" s="1"/>
  <c r="Q22" i="63"/>
  <c r="Q29" i="63" s="1"/>
  <c r="Q34" i="63" s="1"/>
  <c r="P22" i="63"/>
  <c r="P29" i="63" s="1"/>
  <c r="P34" i="63" s="1"/>
  <c r="O22" i="63"/>
  <c r="O29" i="63" s="1"/>
  <c r="O34" i="63" s="1"/>
  <c r="N22" i="63"/>
  <c r="M22" i="63"/>
  <c r="L22" i="63"/>
  <c r="K22" i="63"/>
  <c r="K29" i="63" s="1"/>
  <c r="K34" i="63" s="1"/>
  <c r="J22" i="63"/>
  <c r="Q17" i="63"/>
  <c r="P17" i="63"/>
  <c r="O17" i="63"/>
  <c r="N17" i="63"/>
  <c r="M17" i="63"/>
  <c r="L17" i="63"/>
  <c r="K17" i="63"/>
  <c r="J17" i="63"/>
  <c r="M13" i="63"/>
  <c r="L13" i="63"/>
  <c r="K13" i="63"/>
  <c r="J13" i="63"/>
  <c r="J76" i="2"/>
  <c r="L29" i="63" l="1"/>
  <c r="L34" i="63" s="1"/>
  <c r="H24" i="63"/>
  <c r="G52" i="64"/>
  <c r="G51" i="64"/>
  <c r="G55" i="64"/>
  <c r="G50" i="64"/>
  <c r="O24" i="63"/>
  <c r="O27" i="63" s="1"/>
  <c r="M24" i="63"/>
  <c r="M27" i="63" s="1"/>
  <c r="J24" i="63"/>
  <c r="J27" i="63" s="1"/>
  <c r="N24" i="63"/>
  <c r="N27" i="63" s="1"/>
  <c r="J52" i="63"/>
  <c r="J51" i="63"/>
  <c r="J50" i="63"/>
  <c r="K24" i="63"/>
  <c r="K27" i="63" s="1"/>
  <c r="M29" i="63"/>
  <c r="M34" i="63" s="1"/>
  <c r="L24" i="63"/>
  <c r="L27" i="63" s="1"/>
  <c r="J29" i="63"/>
  <c r="J34" i="63" s="1"/>
  <c r="N29" i="63"/>
  <c r="N34" i="63" s="1"/>
  <c r="O13" i="62"/>
  <c r="S55" i="62"/>
  <c r="S37" i="62"/>
  <c r="S22" i="62"/>
  <c r="S29" i="62" s="1"/>
  <c r="S34" i="62" s="1"/>
  <c r="S17" i="62"/>
  <c r="K41" i="62"/>
  <c r="K55" i="62" s="1"/>
  <c r="R55" i="62"/>
  <c r="Q55" i="62"/>
  <c r="P55" i="62"/>
  <c r="R37" i="62"/>
  <c r="Q37" i="62"/>
  <c r="P37" i="62"/>
  <c r="O37" i="62"/>
  <c r="N37" i="62"/>
  <c r="M37" i="62"/>
  <c r="L37" i="62"/>
  <c r="K37" i="62"/>
  <c r="R22" i="62"/>
  <c r="R29" i="62" s="1"/>
  <c r="R34" i="62" s="1"/>
  <c r="Q22" i="62"/>
  <c r="Q29" i="62" s="1"/>
  <c r="Q34" i="62" s="1"/>
  <c r="P22" i="62"/>
  <c r="O22" i="62"/>
  <c r="O29" i="62" s="1"/>
  <c r="O34" i="62" s="1"/>
  <c r="N22" i="62"/>
  <c r="M22" i="62"/>
  <c r="M29" i="62" s="1"/>
  <c r="M34" i="62" s="1"/>
  <c r="L22" i="62"/>
  <c r="L29" i="62" s="1"/>
  <c r="L34" i="62" s="1"/>
  <c r="K22" i="62"/>
  <c r="R17" i="62"/>
  <c r="Q17" i="62"/>
  <c r="P17" i="62"/>
  <c r="O17" i="62"/>
  <c r="N17" i="62"/>
  <c r="M17" i="62"/>
  <c r="L17" i="62"/>
  <c r="K17" i="62"/>
  <c r="N13" i="62"/>
  <c r="M13" i="62"/>
  <c r="L13" i="62"/>
  <c r="K13" i="62"/>
  <c r="L10" i="62"/>
  <c r="M10" i="62" s="1"/>
  <c r="N10" i="62" s="1"/>
  <c r="O10" i="62" s="1"/>
  <c r="P10" i="62" s="1"/>
  <c r="Q10" i="62" s="1"/>
  <c r="R10" i="62" s="1"/>
  <c r="S10" i="62" s="1"/>
  <c r="I76" i="2"/>
  <c r="K53" i="62" l="1"/>
  <c r="G48" i="62"/>
  <c r="H25" i="63"/>
  <c r="F25" i="63" s="1"/>
  <c r="F27" i="63"/>
  <c r="F47" i="63" s="1"/>
  <c r="P24" i="62"/>
  <c r="P27" i="62" s="1"/>
  <c r="K24" i="62"/>
  <c r="K27" i="62" s="1"/>
  <c r="K29" i="62"/>
  <c r="K34" i="62" s="1"/>
  <c r="O24" i="62"/>
  <c r="O27" i="62" s="1"/>
  <c r="L24" i="62"/>
  <c r="L27" i="62" s="1"/>
  <c r="N24" i="62"/>
  <c r="N27" i="62" s="1"/>
  <c r="P29" i="62"/>
  <c r="P34" i="62" s="1"/>
  <c r="K52" i="62"/>
  <c r="K51" i="62"/>
  <c r="K50" i="62"/>
  <c r="M24" i="62"/>
  <c r="M27" i="62" s="1"/>
  <c r="N29" i="62"/>
  <c r="N34" i="62" s="1"/>
  <c r="D42" i="17"/>
  <c r="D40" i="17"/>
  <c r="D41" i="17" s="1"/>
  <c r="D53" i="17" s="1"/>
  <c r="J72" i="2"/>
  <c r="G53" i="62" l="1"/>
  <c r="F48" i="62"/>
  <c r="F51" i="63"/>
  <c r="F55" i="63"/>
  <c r="F52" i="63"/>
  <c r="F50" i="63"/>
  <c r="H27" i="63"/>
  <c r="H47" i="63" s="1"/>
  <c r="D52" i="17"/>
  <c r="D55" i="17"/>
  <c r="D50" i="17"/>
  <c r="D51" i="17"/>
  <c r="O72" i="2"/>
  <c r="F53" i="62" l="1"/>
  <c r="E48" i="62"/>
  <c r="H52" i="63"/>
  <c r="H51" i="63"/>
  <c r="H55" i="63"/>
  <c r="H50" i="63"/>
  <c r="J46" i="15"/>
  <c r="K46" i="15"/>
  <c r="L46" i="15"/>
  <c r="I46" i="15"/>
  <c r="I37" i="15"/>
  <c r="I13" i="15"/>
  <c r="I22" i="15"/>
  <c r="I17" i="15"/>
  <c r="I40" i="15"/>
  <c r="I41" i="15" s="1"/>
  <c r="I72" i="2"/>
  <c r="E53" i="62" l="1"/>
  <c r="D48" i="62"/>
  <c r="F24" i="15"/>
  <c r="I29" i="15"/>
  <c r="F48" i="15"/>
  <c r="F53" i="15" s="1"/>
  <c r="I29" i="19"/>
  <c r="J46" i="19"/>
  <c r="I46" i="19" s="1"/>
  <c r="H46" i="19" s="1"/>
  <c r="G46" i="19" s="1"/>
  <c r="I24" i="19"/>
  <c r="I26" i="19" s="1"/>
  <c r="I22" i="19"/>
  <c r="I17" i="19"/>
  <c r="I13" i="19"/>
  <c r="J29" i="19"/>
  <c r="J24" i="19"/>
  <c r="J22" i="19"/>
  <c r="J17" i="19"/>
  <c r="N22" i="19"/>
  <c r="N17" i="19"/>
  <c r="J13" i="19"/>
  <c r="I41" i="19"/>
  <c r="J41" i="19"/>
  <c r="O114" i="2"/>
  <c r="C72" i="2"/>
  <c r="C48" i="62" l="1"/>
  <c r="C53" i="62" s="1"/>
  <c r="D53" i="62"/>
  <c r="F25" i="15"/>
  <c r="F27" i="15" s="1"/>
  <c r="F47" i="15" s="1"/>
  <c r="J26" i="19"/>
  <c r="J27" i="19" s="1"/>
  <c r="J47" i="19" s="1"/>
  <c r="I27" i="19"/>
  <c r="I47" i="19" s="1"/>
  <c r="Q29" i="19"/>
  <c r="P29" i="19"/>
  <c r="O29" i="19"/>
  <c r="M29" i="19"/>
  <c r="L29" i="19"/>
  <c r="K29" i="19"/>
  <c r="P36" i="19"/>
  <c r="P35" i="19"/>
  <c r="L22" i="19"/>
  <c r="L17" i="19"/>
  <c r="P22" i="19"/>
  <c r="P17" i="19"/>
  <c r="L13" i="19"/>
  <c r="M27" i="19"/>
  <c r="M37" i="19"/>
  <c r="Q37" i="19"/>
  <c r="Q22" i="19"/>
  <c r="Q17" i="19"/>
  <c r="M22" i="19"/>
  <c r="M17" i="19"/>
  <c r="M13" i="19"/>
  <c r="E114" i="2"/>
  <c r="C76" i="2"/>
  <c r="F72" i="2"/>
  <c r="P37" i="19" l="1"/>
  <c r="F50" i="15"/>
  <c r="F55" i="15"/>
  <c r="F51" i="15"/>
  <c r="F52" i="15"/>
  <c r="K37" i="19"/>
  <c r="L37" i="19"/>
  <c r="J55" i="19"/>
  <c r="J52" i="19"/>
  <c r="J50" i="19"/>
  <c r="J51" i="19"/>
  <c r="I52" i="19"/>
  <c r="I50" i="19"/>
  <c r="I51" i="19"/>
  <c r="I55" i="19"/>
  <c r="K46" i="54"/>
  <c r="L46" i="54"/>
  <c r="M46" i="54"/>
  <c r="K33" i="54"/>
  <c r="K37" i="54"/>
  <c r="H48" i="54" s="1"/>
  <c r="H53" i="54" s="1"/>
  <c r="K22" i="54"/>
  <c r="K29" i="54" s="1"/>
  <c r="K17" i="54"/>
  <c r="K13" i="54"/>
  <c r="O69" i="2"/>
  <c r="F76" i="2"/>
  <c r="F114" i="2"/>
  <c r="I114" i="2"/>
  <c r="E76" i="2"/>
  <c r="J69" i="2"/>
  <c r="J114" i="2"/>
  <c r="E72" i="2"/>
  <c r="I69" i="2"/>
  <c r="K34" i="54" l="1"/>
  <c r="K50" i="54"/>
  <c r="K52" i="54"/>
  <c r="K51" i="54"/>
  <c r="I116" i="2"/>
  <c r="I40" i="34" l="1"/>
  <c r="I39" i="34"/>
  <c r="I22" i="34"/>
  <c r="I17" i="34"/>
  <c r="I32" i="34"/>
  <c r="H32" i="34" s="1"/>
  <c r="G32" i="34" s="1"/>
  <c r="F32" i="34" s="1"/>
  <c r="I37" i="34"/>
  <c r="I13" i="34"/>
  <c r="I55" i="34"/>
  <c r="C116" i="2"/>
  <c r="O116" i="2"/>
  <c r="I41" i="34" l="1"/>
  <c r="F48" i="34"/>
  <c r="F53" i="34" s="1"/>
  <c r="I29" i="34"/>
  <c r="F24" i="34"/>
  <c r="F27" i="34" s="1"/>
  <c r="F47" i="34" s="1"/>
  <c r="K41" i="6"/>
  <c r="K37" i="6"/>
  <c r="H48" i="6" s="1"/>
  <c r="H53" i="6" s="1"/>
  <c r="O22" i="6"/>
  <c r="O29" i="6" s="1"/>
  <c r="O17" i="6"/>
  <c r="K22" i="6"/>
  <c r="K17" i="6"/>
  <c r="K13" i="6"/>
  <c r="E116" i="2"/>
  <c r="F116" i="2"/>
  <c r="K29" i="6" l="1"/>
  <c r="H24" i="6"/>
  <c r="H26" i="6" s="1"/>
  <c r="H27" i="6" s="1"/>
  <c r="H47" i="6" s="1"/>
  <c r="F50" i="34"/>
  <c r="F51" i="34"/>
  <c r="F52" i="34"/>
  <c r="J46" i="5"/>
  <c r="J40" i="5"/>
  <c r="J41" i="5" s="1"/>
  <c r="J37" i="5"/>
  <c r="J22" i="5"/>
  <c r="J17" i="5"/>
  <c r="H50" i="6" l="1"/>
  <c r="H55" i="6"/>
  <c r="H51" i="6"/>
  <c r="H52" i="6"/>
  <c r="G48" i="5"/>
  <c r="G53" i="5" s="1"/>
  <c r="J29" i="5"/>
  <c r="J34" i="5" s="1"/>
  <c r="G24" i="5"/>
  <c r="K41" i="21"/>
  <c r="G27" i="5" l="1"/>
  <c r="G47" i="5" s="1"/>
  <c r="K42" i="21"/>
  <c r="K46" i="21"/>
  <c r="J46" i="21"/>
  <c r="J41" i="21"/>
  <c r="J37" i="21"/>
  <c r="K37" i="21"/>
  <c r="J29" i="21"/>
  <c r="K29" i="21"/>
  <c r="L29" i="21"/>
  <c r="J24" i="21"/>
  <c r="J27" i="21" s="1"/>
  <c r="J47" i="21" s="1"/>
  <c r="K24" i="21"/>
  <c r="K27" i="21" s="1"/>
  <c r="K47" i="21" s="1"/>
  <c r="J21" i="21"/>
  <c r="K21" i="21"/>
  <c r="J17" i="21"/>
  <c r="K17" i="21"/>
  <c r="J13" i="21"/>
  <c r="K13" i="21"/>
  <c r="G48" i="21" l="1"/>
  <c r="G53" i="21" s="1"/>
  <c r="H48" i="21"/>
  <c r="H53" i="21" s="1"/>
  <c r="G50" i="5"/>
  <c r="G52" i="5"/>
  <c r="G51" i="5"/>
  <c r="G55" i="5"/>
  <c r="J52" i="21"/>
  <c r="J50" i="21"/>
  <c r="J51" i="21"/>
  <c r="J55" i="21"/>
  <c r="C37" i="57" l="1"/>
  <c r="C29" i="57"/>
  <c r="C46" i="57"/>
  <c r="C41" i="57"/>
  <c r="C22" i="57"/>
  <c r="C17" i="57"/>
  <c r="C13" i="57"/>
  <c r="L12" i="45" l="1"/>
  <c r="H13" i="45" s="1"/>
  <c r="O32" i="45"/>
  <c r="K41" i="45"/>
  <c r="K37" i="45"/>
  <c r="H48" i="45" s="1"/>
  <c r="H53" i="45" s="1"/>
  <c r="K22" i="45"/>
  <c r="H24" i="45" s="1"/>
  <c r="K17" i="45"/>
  <c r="K13" i="45"/>
  <c r="H25" i="45" l="1"/>
  <c r="H27" i="45" s="1"/>
  <c r="H47" i="45" s="1"/>
  <c r="I46" i="45"/>
  <c r="J46" i="45"/>
  <c r="K29" i="45"/>
  <c r="K41" i="25"/>
  <c r="K37" i="25"/>
  <c r="H48" i="25" s="1"/>
  <c r="H53" i="25" s="1"/>
  <c r="K22" i="25"/>
  <c r="K17" i="25"/>
  <c r="K13" i="25"/>
  <c r="H50" i="45" l="1"/>
  <c r="H55" i="45"/>
  <c r="H51" i="45"/>
  <c r="H52" i="45"/>
  <c r="K29" i="25"/>
  <c r="H24" i="25"/>
  <c r="K40" i="20"/>
  <c r="K41" i="20" s="1"/>
  <c r="K46" i="20"/>
  <c r="K37" i="20"/>
  <c r="K22" i="20"/>
  <c r="H24" i="20" s="1"/>
  <c r="K17" i="20"/>
  <c r="K13" i="20"/>
  <c r="H26" i="20" l="1"/>
  <c r="H27" i="20" s="1"/>
  <c r="H47" i="20" s="1"/>
  <c r="H25" i="25"/>
  <c r="H27" i="25"/>
  <c r="H47" i="25" s="1"/>
  <c r="K29" i="20"/>
  <c r="E46" i="58"/>
  <c r="D46" i="58"/>
  <c r="C46" i="58"/>
  <c r="C37" i="58"/>
  <c r="D37" i="58"/>
  <c r="C22" i="58"/>
  <c r="D22" i="58"/>
  <c r="D29" i="58" s="1"/>
  <c r="C17" i="58"/>
  <c r="D17" i="58"/>
  <c r="C13" i="58"/>
  <c r="D13" i="58"/>
  <c r="H50" i="20" l="1"/>
  <c r="H51" i="20"/>
  <c r="H55" i="20"/>
  <c r="H52" i="20"/>
  <c r="H52" i="25"/>
  <c r="H50" i="25"/>
  <c r="H51" i="25"/>
  <c r="C29" i="58"/>
  <c r="J37" i="28"/>
  <c r="G48" i="28" s="1"/>
  <c r="G53" i="28" s="1"/>
  <c r="K37" i="28"/>
  <c r="H48" i="28" s="1"/>
  <c r="H53" i="28" s="1"/>
  <c r="L37" i="28"/>
  <c r="M37" i="28"/>
  <c r="N37" i="28"/>
  <c r="O37" i="28"/>
  <c r="P37" i="28"/>
  <c r="Q33" i="28"/>
  <c r="P33" i="28"/>
  <c r="O33" i="28"/>
  <c r="N33" i="28"/>
  <c r="M33" i="28"/>
  <c r="L33" i="28"/>
  <c r="K33" i="28"/>
  <c r="I48" i="28" l="1"/>
  <c r="I53" i="28" s="1"/>
  <c r="J41" i="28"/>
  <c r="J33" i="28"/>
  <c r="J17" i="28"/>
  <c r="J22" i="28"/>
  <c r="N22" i="28"/>
  <c r="N29" i="28" s="1"/>
  <c r="N34" i="28" s="1"/>
  <c r="N17" i="28"/>
  <c r="N46" i="28"/>
  <c r="J13" i="28"/>
  <c r="J29" i="28" l="1"/>
  <c r="J34" i="28" s="1"/>
  <c r="G24" i="28"/>
  <c r="G27" i="28" s="1"/>
  <c r="G47" i="28" s="1"/>
  <c r="K41" i="44"/>
  <c r="G55" i="28" l="1"/>
  <c r="G51" i="28"/>
  <c r="G52" i="28"/>
  <c r="G50" i="28"/>
  <c r="K16" i="44"/>
  <c r="K17" i="44" s="1"/>
  <c r="K22" i="44"/>
  <c r="K42" i="44"/>
  <c r="K32" i="44"/>
  <c r="K37" i="44"/>
  <c r="K21" i="44"/>
  <c r="K13" i="44"/>
  <c r="J32" i="44" l="1"/>
  <c r="I32" i="44" s="1"/>
  <c r="K29" i="44"/>
  <c r="H22" i="44"/>
  <c r="H48" i="44"/>
  <c r="H53" i="44" s="1"/>
  <c r="K42" i="43"/>
  <c r="K46" i="43"/>
  <c r="K37" i="43"/>
  <c r="K17" i="43"/>
  <c r="K13" i="43"/>
  <c r="E24" i="44" l="1"/>
  <c r="E27" i="44" s="1"/>
  <c r="E47" i="44" s="1"/>
  <c r="F24" i="44"/>
  <c r="F27" i="44" s="1"/>
  <c r="F47" i="44" s="1"/>
  <c r="G24" i="44"/>
  <c r="G27" i="44" s="1"/>
  <c r="G47" i="44" s="1"/>
  <c r="H48" i="43"/>
  <c r="H53" i="43" s="1"/>
  <c r="H16" i="44"/>
  <c r="H17" i="44" s="1"/>
  <c r="H29" i="44"/>
  <c r="H24" i="44"/>
  <c r="H27" i="44" s="1"/>
  <c r="H47" i="44" s="1"/>
  <c r="K29" i="43"/>
  <c r="K34" i="43" s="1"/>
  <c r="F50" i="44" l="1"/>
  <c r="F51" i="44"/>
  <c r="F52" i="44"/>
  <c r="F55" i="44"/>
  <c r="G55" i="44"/>
  <c r="G50" i="44"/>
  <c r="G52" i="44"/>
  <c r="G51" i="44"/>
  <c r="E50" i="44"/>
  <c r="E52" i="44"/>
  <c r="E51" i="44"/>
  <c r="E55" i="44"/>
  <c r="H50" i="44"/>
  <c r="H55" i="44"/>
  <c r="H51" i="44"/>
  <c r="H52" i="44"/>
  <c r="K41" i="49"/>
  <c r="K37" i="49"/>
  <c r="K22" i="49"/>
  <c r="K17" i="49"/>
  <c r="K13" i="49"/>
  <c r="K29" i="49" l="1"/>
  <c r="K34" i="49" s="1"/>
  <c r="H24" i="49"/>
  <c r="H27" i="49" s="1"/>
  <c r="H47" i="49" s="1"/>
  <c r="J40" i="38"/>
  <c r="J41" i="38"/>
  <c r="J29" i="38"/>
  <c r="J37" i="38" s="1"/>
  <c r="J24" i="38"/>
  <c r="J27" i="38" s="1"/>
  <c r="J47" i="38" s="1"/>
  <c r="J17" i="38"/>
  <c r="J46" i="38"/>
  <c r="J13" i="38"/>
  <c r="J50" i="38" l="1"/>
  <c r="G48" i="38"/>
  <c r="G53" i="38" s="1"/>
  <c r="H51" i="49"/>
  <c r="H55" i="49"/>
  <c r="H50" i="49"/>
  <c r="H52" i="49"/>
  <c r="J55" i="38"/>
  <c r="J51" i="38"/>
  <c r="J52" i="38"/>
  <c r="F35" i="9"/>
  <c r="K35" i="9"/>
  <c r="G32" i="9"/>
  <c r="F32" i="9" s="1"/>
  <c r="E32" i="9" s="1"/>
  <c r="D32" i="9" s="1"/>
  <c r="L40" i="9"/>
  <c r="G41" i="9"/>
  <c r="G17" i="9"/>
  <c r="G22" i="9"/>
  <c r="D22" i="9" s="1"/>
  <c r="C24" i="9" s="1"/>
  <c r="C25" i="9" s="1"/>
  <c r="G13" i="9"/>
  <c r="G55" i="9"/>
  <c r="G47" i="9"/>
  <c r="G46" i="9"/>
  <c r="D29" i="9" l="1"/>
  <c r="D24" i="9"/>
  <c r="D25" i="9" s="1"/>
  <c r="D21" i="9"/>
  <c r="G52" i="9"/>
  <c r="F37" i="9"/>
  <c r="E35" i="9"/>
  <c r="G37" i="9"/>
  <c r="G29" i="9"/>
  <c r="G50" i="9"/>
  <c r="G51" i="9"/>
  <c r="K41" i="12"/>
  <c r="K37" i="12"/>
  <c r="G48" i="12" s="1"/>
  <c r="K22" i="12"/>
  <c r="K17" i="12"/>
  <c r="G53" i="12" l="1"/>
  <c r="F48" i="12"/>
  <c r="E37" i="9"/>
  <c r="D35" i="9"/>
  <c r="D37" i="9" s="1"/>
  <c r="K29" i="12"/>
  <c r="G40" i="53"/>
  <c r="F50" i="53"/>
  <c r="F41" i="53"/>
  <c r="F52" i="53" s="1"/>
  <c r="F13" i="53"/>
  <c r="F29" i="53"/>
  <c r="F34" i="53" s="1"/>
  <c r="F53" i="12" l="1"/>
  <c r="E48" i="12"/>
  <c r="D48" i="9"/>
  <c r="D53" i="9" s="1"/>
  <c r="C48" i="9"/>
  <c r="C53" i="9" s="1"/>
  <c r="F55" i="53"/>
  <c r="F51" i="53"/>
  <c r="K51" i="12"/>
  <c r="K50" i="12"/>
  <c r="K55" i="12"/>
  <c r="K52" i="12"/>
  <c r="H40" i="24"/>
  <c r="H41" i="24" s="1"/>
  <c r="H29" i="24"/>
  <c r="H37" i="24" s="1"/>
  <c r="E48" i="24" s="1"/>
  <c r="E53" i="24" s="1"/>
  <c r="H17" i="24"/>
  <c r="H13" i="24"/>
  <c r="E53" i="12" l="1"/>
  <c r="D48" i="12"/>
  <c r="K46" i="41"/>
  <c r="K41" i="41"/>
  <c r="K37" i="41"/>
  <c r="K22" i="41"/>
  <c r="K17" i="41"/>
  <c r="K13" i="41"/>
  <c r="D53" i="12" l="1"/>
  <c r="C48" i="12"/>
  <c r="C53" i="12" s="1"/>
  <c r="H48" i="41"/>
  <c r="H53" i="41" s="1"/>
  <c r="H24" i="41"/>
  <c r="H27" i="41" s="1"/>
  <c r="H47" i="41" s="1"/>
  <c r="K29" i="41"/>
  <c r="K34" i="41" s="1"/>
  <c r="L41" i="39"/>
  <c r="L40" i="39"/>
  <c r="J40" i="39"/>
  <c r="J41" i="39" s="1"/>
  <c r="O30" i="39"/>
  <c r="N30" i="39" s="1"/>
  <c r="K30" i="39"/>
  <c r="J30" i="39" s="1"/>
  <c r="J36" i="39"/>
  <c r="I36" i="39" s="1"/>
  <c r="J35" i="39"/>
  <c r="I35" i="39" s="1"/>
  <c r="H35" i="39" s="1"/>
  <c r="N36" i="39"/>
  <c r="M36" i="39" s="1"/>
  <c r="L36" i="39" s="1"/>
  <c r="N35" i="39"/>
  <c r="M35" i="39" s="1"/>
  <c r="L35" i="39" s="1"/>
  <c r="J29" i="39"/>
  <c r="J17" i="39"/>
  <c r="J13" i="39"/>
  <c r="I24" i="39"/>
  <c r="X32" i="39"/>
  <c r="X35" i="39"/>
  <c r="X36" i="39"/>
  <c r="X37" i="39" s="1"/>
  <c r="K31" i="39"/>
  <c r="J31" i="39" s="1"/>
  <c r="O31" i="39"/>
  <c r="N31" i="39" s="1"/>
  <c r="L12" i="39"/>
  <c r="H50" i="41" l="1"/>
  <c r="H55" i="41"/>
  <c r="H52" i="41"/>
  <c r="H51" i="41"/>
  <c r="I37" i="39"/>
  <c r="H36" i="39"/>
  <c r="H37" i="39" s="1"/>
  <c r="J37" i="39"/>
  <c r="I46" i="39"/>
  <c r="H13" i="39"/>
  <c r="I25" i="39"/>
  <c r="I27" i="39" s="1"/>
  <c r="I47" i="39" s="1"/>
  <c r="K24" i="39"/>
  <c r="K25" i="39" s="1"/>
  <c r="M24" i="39"/>
  <c r="M25" i="39" s="1"/>
  <c r="L24" i="39"/>
  <c r="L25" i="39" s="1"/>
  <c r="J46" i="39"/>
  <c r="J24" i="39"/>
  <c r="J25" i="39" s="1"/>
  <c r="J27" i="39" s="1"/>
  <c r="J47" i="39" s="1"/>
  <c r="F37" i="35"/>
  <c r="C48" i="35" s="1"/>
  <c r="C53" i="35" s="1"/>
  <c r="F40" i="35"/>
  <c r="F41" i="35" s="1"/>
  <c r="F29" i="35"/>
  <c r="F34" i="35" s="1"/>
  <c r="F17" i="35"/>
  <c r="F13" i="35"/>
  <c r="F48" i="39" l="1"/>
  <c r="F53" i="39" s="1"/>
  <c r="E48" i="39"/>
  <c r="E53" i="39" s="1"/>
  <c r="G48" i="39"/>
  <c r="G53" i="39" s="1"/>
  <c r="I50" i="39"/>
  <c r="I52" i="39"/>
  <c r="I51" i="39"/>
  <c r="I55" i="39"/>
  <c r="J51" i="39"/>
  <c r="J55" i="39"/>
  <c r="J52" i="39"/>
  <c r="J50" i="39"/>
  <c r="E12" i="26"/>
  <c r="D46" i="26" s="1"/>
  <c r="D41" i="26"/>
  <c r="D33" i="26"/>
  <c r="D37" i="26"/>
  <c r="D22" i="26"/>
  <c r="D29" i="26" s="1"/>
  <c r="D34" i="26" s="1"/>
  <c r="D17" i="26"/>
  <c r="D13" i="26"/>
  <c r="B46" i="26" l="1"/>
  <c r="C46" i="26"/>
  <c r="J22" i="40"/>
  <c r="J17" i="40"/>
  <c r="J55" i="40"/>
  <c r="J40" i="40"/>
  <c r="J41" i="40" s="1"/>
  <c r="J37" i="40"/>
  <c r="G48" i="40" s="1"/>
  <c r="G53" i="40" s="1"/>
  <c r="J13" i="40"/>
  <c r="J29" i="40" l="1"/>
  <c r="J34" i="40" s="1"/>
  <c r="G24" i="40"/>
  <c r="K46" i="37"/>
  <c r="K41" i="37"/>
  <c r="K37" i="37"/>
  <c r="H48" i="37" s="1"/>
  <c r="H53" i="37" s="1"/>
  <c r="K29" i="37"/>
  <c r="K13" i="37"/>
  <c r="G25" i="40" l="1"/>
  <c r="G27" i="40"/>
  <c r="G47" i="40" s="1"/>
  <c r="C40" i="55"/>
  <c r="C41" i="55" s="1"/>
  <c r="G40" i="55"/>
  <c r="G41" i="55" s="1"/>
  <c r="C32" i="55"/>
  <c r="B32" i="55" s="1"/>
  <c r="G32" i="55"/>
  <c r="F32" i="55" s="1"/>
  <c r="C37" i="55"/>
  <c r="C22" i="55"/>
  <c r="C17" i="55"/>
  <c r="C13" i="55"/>
  <c r="G52" i="40" l="1"/>
  <c r="G50" i="40"/>
  <c r="G51" i="40"/>
  <c r="C29" i="55"/>
  <c r="J41" i="27" l="1"/>
  <c r="J16" i="27" l="1"/>
  <c r="J17" i="27" s="1"/>
  <c r="I32" i="27"/>
  <c r="H32" i="27" s="1"/>
  <c r="J37" i="27"/>
  <c r="G48" i="27" s="1"/>
  <c r="G53" i="27" s="1"/>
  <c r="J13" i="27"/>
  <c r="J29" i="27"/>
  <c r="J24" i="27"/>
  <c r="J27" i="27" s="1"/>
  <c r="J47" i="27" s="1"/>
  <c r="J50" i="27" l="1"/>
  <c r="J55" i="27"/>
  <c r="J51" i="27"/>
  <c r="J52" i="27"/>
  <c r="K41" i="61"/>
  <c r="K55" i="61" s="1"/>
  <c r="N22" i="61"/>
  <c r="N17" i="61"/>
  <c r="L10" i="61"/>
  <c r="M10" i="61" s="1"/>
  <c r="N10" i="61" s="1"/>
  <c r="O10" i="61" s="1"/>
  <c r="C112" i="2"/>
  <c r="K53" i="61" l="1"/>
  <c r="K52" i="61"/>
  <c r="K51" i="61"/>
  <c r="K50" i="61"/>
  <c r="J37" i="7"/>
  <c r="J22" i="7"/>
  <c r="J17" i="7"/>
  <c r="J13" i="7"/>
  <c r="F112" i="2"/>
  <c r="J29" i="7" l="1"/>
  <c r="G24" i="7"/>
  <c r="G27" i="7" s="1"/>
  <c r="G47" i="7" s="1"/>
  <c r="H48" i="7"/>
  <c r="H53" i="7" s="1"/>
  <c r="G48" i="7"/>
  <c r="G53" i="7" s="1"/>
  <c r="L44" i="50"/>
  <c r="L42" i="50"/>
  <c r="L40" i="50"/>
  <c r="L39" i="50"/>
  <c r="L46" i="50"/>
  <c r="K46" i="50"/>
  <c r="K40" i="50"/>
  <c r="K41" i="50" s="1"/>
  <c r="K37" i="50"/>
  <c r="L37" i="50"/>
  <c r="O17" i="50"/>
  <c r="N17" i="50"/>
  <c r="M17" i="50"/>
  <c r="L17" i="50"/>
  <c r="K17" i="50"/>
  <c r="O22" i="50"/>
  <c r="N22" i="50"/>
  <c r="L22" i="50"/>
  <c r="K22" i="50"/>
  <c r="K13" i="50"/>
  <c r="L13" i="50"/>
  <c r="H48" i="50" l="1"/>
  <c r="H53" i="50" s="1"/>
  <c r="I48" i="50"/>
  <c r="I53" i="50" s="1"/>
  <c r="G51" i="7"/>
  <c r="G50" i="7"/>
  <c r="G55" i="7"/>
  <c r="G52" i="7"/>
  <c r="K29" i="50"/>
  <c r="H24" i="50"/>
  <c r="H27" i="50" s="1"/>
  <c r="H47" i="50" s="1"/>
  <c r="I24" i="50"/>
  <c r="I27" i="50" s="1"/>
  <c r="I47" i="50" s="1"/>
  <c r="I52" i="50" s="1"/>
  <c r="L29" i="50"/>
  <c r="J24" i="50"/>
  <c r="J27" i="50" s="1"/>
  <c r="J47" i="50" s="1"/>
  <c r="J51" i="50" s="1"/>
  <c r="K24" i="50"/>
  <c r="K27" i="50" s="1"/>
  <c r="K47" i="50" s="1"/>
  <c r="K51" i="50" s="1"/>
  <c r="L24" i="50"/>
  <c r="J31" i="16"/>
  <c r="I31" i="16" s="1"/>
  <c r="H31" i="16" s="1"/>
  <c r="G31" i="16" s="1"/>
  <c r="J17" i="16"/>
  <c r="N16" i="16"/>
  <c r="M16" i="16" s="1"/>
  <c r="L16" i="16" s="1"/>
  <c r="J42" i="16"/>
  <c r="J40" i="16"/>
  <c r="J41" i="16" s="1"/>
  <c r="J32" i="16"/>
  <c r="I32" i="16" s="1"/>
  <c r="H32" i="16" s="1"/>
  <c r="G32" i="16" s="1"/>
  <c r="J37" i="16"/>
  <c r="J22" i="16"/>
  <c r="J29" i="16" s="1"/>
  <c r="J13" i="16"/>
  <c r="I51" i="50" l="1"/>
  <c r="G48" i="16"/>
  <c r="G53" i="16" s="1"/>
  <c r="H55" i="50"/>
  <c r="H50" i="50"/>
  <c r="H51" i="50"/>
  <c r="H52" i="50"/>
  <c r="L25" i="50"/>
  <c r="L27" i="50" s="1"/>
  <c r="L47" i="50" s="1"/>
  <c r="L50" i="50" s="1"/>
  <c r="I17" i="16"/>
  <c r="I22" i="16"/>
  <c r="I29" i="16" s="1"/>
  <c r="I50" i="50"/>
  <c r="I55" i="50"/>
  <c r="K55" i="50"/>
  <c r="J52" i="50"/>
  <c r="J55" i="50"/>
  <c r="J50" i="50"/>
  <c r="K52" i="50"/>
  <c r="K50" i="50"/>
  <c r="T55" i="5"/>
  <c r="S55" i="5"/>
  <c r="R55" i="5"/>
  <c r="Q47" i="5"/>
  <c r="Q46" i="5"/>
  <c r="P46" i="5" s="1"/>
  <c r="O46" i="5" s="1"/>
  <c r="Q40" i="5"/>
  <c r="Q41" i="5" s="1"/>
  <c r="P40" i="5"/>
  <c r="P41" i="5" s="1"/>
  <c r="P53" i="5" s="1"/>
  <c r="O40" i="5"/>
  <c r="O41" i="5" s="1"/>
  <c r="O53" i="5" s="1"/>
  <c r="N40" i="5"/>
  <c r="N41" i="5" s="1"/>
  <c r="M40" i="5"/>
  <c r="M41" i="5" s="1"/>
  <c r="L40" i="5"/>
  <c r="L41" i="5" s="1"/>
  <c r="K40" i="5"/>
  <c r="K41" i="5" s="1"/>
  <c r="Q37" i="5"/>
  <c r="P37" i="5"/>
  <c r="O37" i="5"/>
  <c r="M37" i="5"/>
  <c r="L37" i="5"/>
  <c r="K37" i="5"/>
  <c r="N36" i="5"/>
  <c r="N35" i="5"/>
  <c r="Q32" i="5"/>
  <c r="P32" i="5"/>
  <c r="O32" i="5"/>
  <c r="P22" i="5"/>
  <c r="P29" i="5" s="1"/>
  <c r="O22" i="5"/>
  <c r="O29" i="5" s="1"/>
  <c r="N22" i="5"/>
  <c r="N29" i="5" s="1"/>
  <c r="M22" i="5"/>
  <c r="M29" i="5" s="1"/>
  <c r="M34" i="5" s="1"/>
  <c r="L22" i="5"/>
  <c r="L29" i="5" s="1"/>
  <c r="L34" i="5" s="1"/>
  <c r="K22" i="5"/>
  <c r="S21" i="5"/>
  <c r="S22" i="5" s="1"/>
  <c r="R21" i="5"/>
  <c r="R22" i="5" s="1"/>
  <c r="Q21" i="5"/>
  <c r="P17" i="5"/>
  <c r="O17" i="5"/>
  <c r="M17" i="5"/>
  <c r="L17" i="5"/>
  <c r="K17" i="5"/>
  <c r="Q16" i="5"/>
  <c r="Q17" i="5" s="1"/>
  <c r="M13" i="5"/>
  <c r="L13" i="5"/>
  <c r="K13" i="5"/>
  <c r="N12" i="5"/>
  <c r="L46" i="5" s="1"/>
  <c r="R10" i="5"/>
  <c r="S10" i="5" s="1"/>
  <c r="I35" i="2"/>
  <c r="O34" i="5" l="1"/>
  <c r="H17" i="16"/>
  <c r="H22" i="16"/>
  <c r="P34" i="5"/>
  <c r="Q22" i="5"/>
  <c r="Q29" i="5" s="1"/>
  <c r="Q34" i="5" s="1"/>
  <c r="L48" i="50"/>
  <c r="K48" i="50" s="1"/>
  <c r="K29" i="5"/>
  <c r="K34" i="5" s="1"/>
  <c r="I24" i="5"/>
  <c r="I27" i="5" s="1"/>
  <c r="I47" i="5" s="1"/>
  <c r="H24" i="5"/>
  <c r="H27" i="5" s="1"/>
  <c r="H47" i="5" s="1"/>
  <c r="J24" i="5"/>
  <c r="J27" i="5" s="1"/>
  <c r="J47" i="5" s="1"/>
  <c r="K46" i="5"/>
  <c r="H48" i="5"/>
  <c r="H53" i="5" s="1"/>
  <c r="J48" i="5"/>
  <c r="J53" i="5" s="1"/>
  <c r="I48" i="5"/>
  <c r="I53" i="5" s="1"/>
  <c r="N46" i="5"/>
  <c r="J13" i="5"/>
  <c r="N32" i="5"/>
  <c r="N34" i="5" s="1"/>
  <c r="Q51" i="5"/>
  <c r="Q53" i="5"/>
  <c r="Q55" i="5"/>
  <c r="Q52" i="5"/>
  <c r="Q50" i="5"/>
  <c r="L24" i="5"/>
  <c r="L27" i="5" s="1"/>
  <c r="L47" i="5" s="1"/>
  <c r="L52" i="5" s="1"/>
  <c r="N37" i="5"/>
  <c r="K48" i="5" s="1"/>
  <c r="K53" i="5" s="1"/>
  <c r="M46" i="5"/>
  <c r="M24" i="5"/>
  <c r="M27" i="5" s="1"/>
  <c r="M47" i="5" s="1"/>
  <c r="M51" i="5" s="1"/>
  <c r="N17" i="5"/>
  <c r="K24" i="5"/>
  <c r="K27" i="5" s="1"/>
  <c r="K47" i="5" s="1"/>
  <c r="K52" i="5" s="1"/>
  <c r="O35" i="2"/>
  <c r="N24" i="5" l="1"/>
  <c r="N27" i="5" s="1"/>
  <c r="N47" i="5" s="1"/>
  <c r="N52" i="5" s="1"/>
  <c r="H29" i="16"/>
  <c r="P24" i="5"/>
  <c r="P27" i="5" s="1"/>
  <c r="P47" i="5" s="1"/>
  <c r="G22" i="16"/>
  <c r="D24" i="16" s="1"/>
  <c r="D27" i="16" s="1"/>
  <c r="D47" i="16" s="1"/>
  <c r="D55" i="16" s="1"/>
  <c r="G17" i="16"/>
  <c r="O24" i="5"/>
  <c r="O27" i="5" s="1"/>
  <c r="O47" i="5" s="1"/>
  <c r="O52" i="5" s="1"/>
  <c r="L48" i="5"/>
  <c r="L53" i="5" s="1"/>
  <c r="J55" i="5"/>
  <c r="J51" i="5"/>
  <c r="J52" i="5"/>
  <c r="J50" i="5"/>
  <c r="M55" i="5"/>
  <c r="I55" i="5"/>
  <c r="I51" i="5"/>
  <c r="I50" i="5"/>
  <c r="I52" i="5"/>
  <c r="H52" i="5"/>
  <c r="H55" i="5"/>
  <c r="H51" i="5"/>
  <c r="H50" i="5"/>
  <c r="L50" i="5"/>
  <c r="M50" i="5"/>
  <c r="N50" i="5"/>
  <c r="J48" i="50"/>
  <c r="J53" i="50" s="1"/>
  <c r="K53" i="50"/>
  <c r="N48" i="5"/>
  <c r="N53" i="5" s="1"/>
  <c r="M48" i="5"/>
  <c r="M53" i="5" s="1"/>
  <c r="P55" i="5"/>
  <c r="L55" i="5"/>
  <c r="L51" i="5"/>
  <c r="N51" i="5"/>
  <c r="K51" i="5"/>
  <c r="M52" i="5"/>
  <c r="K55" i="5"/>
  <c r="O55" i="5"/>
  <c r="K50" i="5"/>
  <c r="J35" i="2"/>
  <c r="D52" i="16" l="1"/>
  <c r="D50" i="16"/>
  <c r="D51" i="16"/>
  <c r="F24" i="16"/>
  <c r="F27" i="16" s="1"/>
  <c r="F47" i="16" s="1"/>
  <c r="F55" i="16" s="1"/>
  <c r="E24" i="16"/>
  <c r="E27" i="16" s="1"/>
  <c r="E47" i="16" s="1"/>
  <c r="G29" i="16"/>
  <c r="G24" i="16"/>
  <c r="G27" i="16" s="1"/>
  <c r="G47" i="16" s="1"/>
  <c r="O50" i="5"/>
  <c r="P52" i="5"/>
  <c r="P50" i="5"/>
  <c r="P51" i="5"/>
  <c r="N55" i="5"/>
  <c r="O51" i="5"/>
  <c r="O53" i="28"/>
  <c r="N53" i="28"/>
  <c r="M41" i="28"/>
  <c r="L41" i="28"/>
  <c r="K41" i="28"/>
  <c r="Q37" i="28"/>
  <c r="O27" i="28"/>
  <c r="O47" i="28" s="1"/>
  <c r="Q22" i="28"/>
  <c r="Q29" i="28" s="1"/>
  <c r="Q34" i="28" s="1"/>
  <c r="P22" i="28"/>
  <c r="P29" i="28" s="1"/>
  <c r="P34" i="28" s="1"/>
  <c r="O22" i="28"/>
  <c r="M22" i="28"/>
  <c r="K22" i="28"/>
  <c r="H24" i="28" s="1"/>
  <c r="H27" i="28" s="1"/>
  <c r="H47" i="28" s="1"/>
  <c r="Q17" i="28"/>
  <c r="P17" i="28"/>
  <c r="O17" i="28"/>
  <c r="L17" i="28"/>
  <c r="K17" i="28"/>
  <c r="M13" i="28"/>
  <c r="L13" i="28"/>
  <c r="K13" i="28"/>
  <c r="E35" i="2"/>
  <c r="F35" i="2"/>
  <c r="C35" i="2"/>
  <c r="F51" i="16" l="1"/>
  <c r="F50" i="16"/>
  <c r="F52" i="16"/>
  <c r="E51" i="16"/>
  <c r="E52" i="16"/>
  <c r="E50" i="16"/>
  <c r="E55" i="16"/>
  <c r="G50" i="16"/>
  <c r="G55" i="16"/>
  <c r="G51" i="16"/>
  <c r="G52" i="16"/>
  <c r="H52" i="28"/>
  <c r="H55" i="28"/>
  <c r="H50" i="28"/>
  <c r="H51" i="28"/>
  <c r="I24" i="28"/>
  <c r="I27" i="28" s="1"/>
  <c r="I47" i="28" s="1"/>
  <c r="I55" i="28" s="1"/>
  <c r="M48" i="28"/>
  <c r="M53" i="28" s="1"/>
  <c r="N24" i="28"/>
  <c r="N27" i="28" s="1"/>
  <c r="N47" i="28" s="1"/>
  <c r="N55" i="28" s="1"/>
  <c r="L29" i="28"/>
  <c r="L34" i="28" s="1"/>
  <c r="L24" i="28"/>
  <c r="O29" i="28"/>
  <c r="O34" i="28" s="1"/>
  <c r="M29" i="28"/>
  <c r="M34" i="28" s="1"/>
  <c r="M24" i="28"/>
  <c r="M17" i="28"/>
  <c r="J46" i="28"/>
  <c r="M46" i="28"/>
  <c r="K46" i="28"/>
  <c r="L46" i="28"/>
  <c r="K24" i="28"/>
  <c r="J24" i="28"/>
  <c r="J27" i="28" s="1"/>
  <c r="J47" i="28" s="1"/>
  <c r="K29" i="28"/>
  <c r="K34" i="28" s="1"/>
  <c r="J48" i="28"/>
  <c r="J53" i="28" s="1"/>
  <c r="O52" i="28"/>
  <c r="O55" i="28"/>
  <c r="O50" i="28"/>
  <c r="O51" i="28"/>
  <c r="K40" i="47"/>
  <c r="K41" i="47" s="1"/>
  <c r="L40" i="47"/>
  <c r="L41" i="47" s="1"/>
  <c r="M40" i="47"/>
  <c r="N40" i="47"/>
  <c r="K29" i="47"/>
  <c r="L29" i="47"/>
  <c r="K37" i="47"/>
  <c r="L37" i="47"/>
  <c r="K24" i="47"/>
  <c r="L24" i="47"/>
  <c r="L26" i="47" s="1"/>
  <c r="M24" i="47"/>
  <c r="M26" i="47" s="1"/>
  <c r="N24" i="47"/>
  <c r="N26" i="47" s="1"/>
  <c r="K33" i="47"/>
  <c r="K34" i="47" s="1"/>
  <c r="L33" i="47"/>
  <c r="K13" i="47"/>
  <c r="L13" i="47"/>
  <c r="O7" i="2"/>
  <c r="J7" i="2"/>
  <c r="I52" i="28" l="1"/>
  <c r="I51" i="28"/>
  <c r="I50" i="28"/>
  <c r="L34" i="47"/>
  <c r="K26" i="47"/>
  <c r="K27" i="47" s="1"/>
  <c r="K47" i="47" s="1"/>
  <c r="L48" i="28"/>
  <c r="K48" i="28" s="1"/>
  <c r="K53" i="28" s="1"/>
  <c r="M27" i="47"/>
  <c r="L27" i="47"/>
  <c r="L47" i="47" s="1"/>
  <c r="L55" i="47" s="1"/>
  <c r="N51" i="28"/>
  <c r="N52" i="28"/>
  <c r="J52" i="28"/>
  <c r="J55" i="28"/>
  <c r="J50" i="28"/>
  <c r="J51" i="28"/>
  <c r="M27" i="28"/>
  <c r="M47" i="28" s="1"/>
  <c r="L50" i="47"/>
  <c r="F7" i="2"/>
  <c r="C7" i="2"/>
  <c r="E7" i="2"/>
  <c r="I7" i="2"/>
  <c r="L53" i="28" l="1"/>
  <c r="K55" i="47"/>
  <c r="K51" i="47"/>
  <c r="K52" i="47"/>
  <c r="K50" i="47"/>
  <c r="L52" i="47"/>
  <c r="L51" i="47"/>
  <c r="L27" i="28"/>
  <c r="L47" i="28" s="1"/>
  <c r="K27" i="28"/>
  <c r="K47" i="28" s="1"/>
  <c r="M50" i="28"/>
  <c r="M52" i="28"/>
  <c r="M51" i="28"/>
  <c r="M55" i="28"/>
  <c r="G53" i="60"/>
  <c r="G55" i="60"/>
  <c r="F48" i="60"/>
  <c r="G13" i="60"/>
  <c r="H10" i="60"/>
  <c r="I10" i="60" s="1"/>
  <c r="J10" i="60" s="1"/>
  <c r="K10" i="60" s="1"/>
  <c r="F53" i="60" l="1"/>
  <c r="E48" i="60"/>
  <c r="G27" i="60"/>
  <c r="F24" i="60" s="1"/>
  <c r="F27" i="60" s="1"/>
  <c r="F47" i="60" s="1"/>
  <c r="K52" i="28"/>
  <c r="K51" i="28"/>
  <c r="K50" i="28"/>
  <c r="K55" i="28"/>
  <c r="L50" i="28"/>
  <c r="L51" i="28"/>
  <c r="L55" i="28"/>
  <c r="L52" i="28"/>
  <c r="G52" i="60"/>
  <c r="G51" i="60"/>
  <c r="G50" i="60"/>
  <c r="F42" i="56"/>
  <c r="F40" i="56"/>
  <c r="F41" i="56" s="1"/>
  <c r="F37" i="56"/>
  <c r="F33" i="56"/>
  <c r="F22" i="56"/>
  <c r="F17" i="56"/>
  <c r="F13" i="56"/>
  <c r="I51" i="2"/>
  <c r="D48" i="60" l="1"/>
  <c r="E53" i="60"/>
  <c r="F29" i="56"/>
  <c r="F34" i="56" s="1"/>
  <c r="C24" i="56"/>
  <c r="C25" i="56" s="1"/>
  <c r="C26" i="56" s="1"/>
  <c r="C27" i="56" s="1"/>
  <c r="C47" i="56" s="1"/>
  <c r="F50" i="60"/>
  <c r="F55" i="60"/>
  <c r="F52" i="60"/>
  <c r="F51" i="60"/>
  <c r="C48" i="56"/>
  <c r="C53" i="56" s="1"/>
  <c r="K40" i="8"/>
  <c r="K41" i="8" s="1"/>
  <c r="K32" i="8"/>
  <c r="J32" i="8" s="1"/>
  <c r="I32" i="8" s="1"/>
  <c r="H32" i="8" s="1"/>
  <c r="K37" i="8"/>
  <c r="K22" i="8"/>
  <c r="K17" i="8"/>
  <c r="K13" i="8"/>
  <c r="O51" i="2"/>
  <c r="C51" i="2"/>
  <c r="F51" i="2"/>
  <c r="J51" i="2"/>
  <c r="D53" i="60" l="1"/>
  <c r="C48" i="60"/>
  <c r="H48" i="8"/>
  <c r="H53" i="8" s="1"/>
  <c r="C55" i="56"/>
  <c r="C52" i="56"/>
  <c r="C50" i="56"/>
  <c r="C51" i="56"/>
  <c r="K29" i="8"/>
  <c r="H24" i="8"/>
  <c r="H27" i="8" s="1"/>
  <c r="H47" i="8" s="1"/>
  <c r="J41" i="3"/>
  <c r="J32" i="3"/>
  <c r="N32" i="3"/>
  <c r="J37" i="3"/>
  <c r="J20" i="3"/>
  <c r="G20" i="3" s="1"/>
  <c r="J21" i="3"/>
  <c r="G21" i="3" s="1"/>
  <c r="N21" i="3"/>
  <c r="N16" i="3" s="1"/>
  <c r="J29" i="3"/>
  <c r="J13" i="3"/>
  <c r="J42" i="3"/>
  <c r="E51" i="2"/>
  <c r="C53" i="60" l="1"/>
  <c r="B48" i="60"/>
  <c r="B53" i="60" s="1"/>
  <c r="G16" i="3"/>
  <c r="G17" i="3" s="1"/>
  <c r="I32" i="3"/>
  <c r="J33" i="3"/>
  <c r="J34" i="3" s="1"/>
  <c r="G33" i="3"/>
  <c r="J16" i="3"/>
  <c r="J17" i="3" s="1"/>
  <c r="H50" i="8"/>
  <c r="H55" i="8"/>
  <c r="H51" i="8"/>
  <c r="H52" i="8"/>
  <c r="G48" i="3"/>
  <c r="G53" i="3" s="1"/>
  <c r="K42" i="23"/>
  <c r="K16" i="23"/>
  <c r="H16" i="23" s="1"/>
  <c r="K32" i="23"/>
  <c r="J32" i="23" s="1"/>
  <c r="O32" i="23"/>
  <c r="N32" i="23" s="1"/>
  <c r="M32" i="23" s="1"/>
  <c r="K37" i="23"/>
  <c r="H48" i="23" s="1"/>
  <c r="H53" i="23" s="1"/>
  <c r="K13" i="23"/>
  <c r="K22" i="23" l="1"/>
  <c r="H32" i="3"/>
  <c r="I34" i="3"/>
  <c r="H22" i="23"/>
  <c r="H17" i="23"/>
  <c r="K17" i="23"/>
  <c r="K29" i="23"/>
  <c r="K34" i="23" s="1"/>
  <c r="J34" i="23"/>
  <c r="I32" i="23"/>
  <c r="R31" i="25"/>
  <c r="Q31" i="25" s="1"/>
  <c r="P31" i="25" s="1"/>
  <c r="S30" i="25"/>
  <c r="R30" i="25" s="1"/>
  <c r="Q30" i="25" s="1"/>
  <c r="P30" i="25" s="1"/>
  <c r="L41" i="25"/>
  <c r="G24" i="23" l="1"/>
  <c r="G27" i="23" s="1"/>
  <c r="G47" i="23" s="1"/>
  <c r="F24" i="23"/>
  <c r="F27" i="23" s="1"/>
  <c r="F47" i="23" s="1"/>
  <c r="E24" i="23"/>
  <c r="E27" i="23" s="1"/>
  <c r="E47" i="23" s="1"/>
  <c r="H29" i="23"/>
  <c r="H24" i="23"/>
  <c r="H27" i="23" s="1"/>
  <c r="H47" i="23" s="1"/>
  <c r="I34" i="23"/>
  <c r="H32" i="23"/>
  <c r="G32" i="3"/>
  <c r="G34" i="3" s="1"/>
  <c r="H34" i="3"/>
  <c r="L12" i="25"/>
  <c r="H13" i="25" s="1"/>
  <c r="L22" i="25"/>
  <c r="F50" i="23" l="1"/>
  <c r="F52" i="23"/>
  <c r="F55" i="23"/>
  <c r="F51" i="23"/>
  <c r="E55" i="23"/>
  <c r="E51" i="23"/>
  <c r="E52" i="23"/>
  <c r="E50" i="23"/>
  <c r="G50" i="23"/>
  <c r="G51" i="23"/>
  <c r="G52" i="23"/>
  <c r="G55" i="23"/>
  <c r="H50" i="23"/>
  <c r="H51" i="23"/>
  <c r="H52" i="23"/>
  <c r="H55" i="23"/>
  <c r="H34" i="23"/>
  <c r="L29" i="25"/>
  <c r="I24" i="25"/>
  <c r="I25" i="25" s="1"/>
  <c r="I27" i="25" s="1"/>
  <c r="I47" i="25" s="1"/>
  <c r="L17" i="25"/>
  <c r="I46" i="25"/>
  <c r="J46" i="25"/>
  <c r="K46" i="25"/>
  <c r="L37" i="25"/>
  <c r="I48" i="25" s="1"/>
  <c r="I53" i="25" s="1"/>
  <c r="L46" i="25"/>
  <c r="H16" i="36"/>
  <c r="E16" i="36" s="1"/>
  <c r="H21" i="36"/>
  <c r="E21" i="36" s="1"/>
  <c r="E33" i="36" s="1"/>
  <c r="L21" i="36"/>
  <c r="H40" i="36"/>
  <c r="H41" i="36"/>
  <c r="H33" i="36"/>
  <c r="H37" i="36"/>
  <c r="H13" i="36"/>
  <c r="E17" i="36" l="1"/>
  <c r="E22" i="36"/>
  <c r="H22" i="36"/>
  <c r="E48" i="36"/>
  <c r="E53" i="36" s="1"/>
  <c r="H17" i="36"/>
  <c r="I52" i="25"/>
  <c r="I50" i="25"/>
  <c r="I51" i="25"/>
  <c r="O16" i="13"/>
  <c r="K16" i="13"/>
  <c r="K21" i="13" s="1"/>
  <c r="K40" i="13"/>
  <c r="K41" i="13" s="1"/>
  <c r="O32" i="13"/>
  <c r="K32" i="13"/>
  <c r="B24" i="36" l="1"/>
  <c r="C24" i="36"/>
  <c r="D24" i="36"/>
  <c r="D25" i="36" s="1"/>
  <c r="H29" i="36"/>
  <c r="H34" i="36" s="1"/>
  <c r="E29" i="36"/>
  <c r="E34" i="36" s="1"/>
  <c r="E24" i="36"/>
  <c r="K17" i="13"/>
  <c r="K24" i="13"/>
  <c r="K25" i="13" s="1"/>
  <c r="K29" i="13"/>
  <c r="K33" i="13"/>
  <c r="K37" i="13"/>
  <c r="H48" i="13" s="1"/>
  <c r="H53" i="13" s="1"/>
  <c r="K55" i="13"/>
  <c r="K47" i="13"/>
  <c r="K13" i="13"/>
  <c r="D27" i="36" l="1"/>
  <c r="D47" i="36" s="1"/>
  <c r="C25" i="36"/>
  <c r="E25" i="36"/>
  <c r="E27" i="36" s="1"/>
  <c r="E47" i="36" s="1"/>
  <c r="K34" i="13"/>
  <c r="K52" i="13"/>
  <c r="K50" i="13"/>
  <c r="K51" i="13"/>
  <c r="I46" i="59"/>
  <c r="I22" i="59"/>
  <c r="I17" i="59"/>
  <c r="I13" i="59"/>
  <c r="J22" i="59"/>
  <c r="C27" i="36" l="1"/>
  <c r="C47" i="36" s="1"/>
  <c r="B25" i="36"/>
  <c r="B27" i="36" s="1"/>
  <c r="B47" i="36" s="1"/>
  <c r="C55" i="36"/>
  <c r="C51" i="36"/>
  <c r="C52" i="36"/>
  <c r="C50" i="36"/>
  <c r="D50" i="36"/>
  <c r="D55" i="36"/>
  <c r="D51" i="36"/>
  <c r="D52" i="36"/>
  <c r="E50" i="36"/>
  <c r="E51" i="36"/>
  <c r="E55" i="36"/>
  <c r="E52" i="36"/>
  <c r="G24" i="59"/>
  <c r="I29" i="59"/>
  <c r="I34" i="59" s="1"/>
  <c r="K32" i="11"/>
  <c r="J32" i="11" s="1"/>
  <c r="I32" i="11" s="1"/>
  <c r="H32" i="11" s="1"/>
  <c r="K30" i="11"/>
  <c r="J30" i="11" s="1"/>
  <c r="I30" i="11" s="1"/>
  <c r="H30" i="11" s="1"/>
  <c r="K37" i="11"/>
  <c r="H48" i="11" s="1"/>
  <c r="H53" i="11" s="1"/>
  <c r="K29" i="11"/>
  <c r="K17" i="11"/>
  <c r="K20" i="11"/>
  <c r="K33" i="11" s="1"/>
  <c r="K24" i="11"/>
  <c r="K25" i="11" s="1"/>
  <c r="K27" i="11" s="1"/>
  <c r="K47" i="11" s="1"/>
  <c r="K13" i="11"/>
  <c r="B52" i="36" l="1"/>
  <c r="B50" i="36"/>
  <c r="B51" i="36"/>
  <c r="B55" i="36"/>
  <c r="K34" i="11"/>
  <c r="J34" i="11"/>
  <c r="G25" i="59"/>
  <c r="G27" i="59" s="1"/>
  <c r="G47" i="59" s="1"/>
  <c r="K50" i="11"/>
  <c r="K55" i="11"/>
  <c r="K51" i="11"/>
  <c r="K52" i="11"/>
  <c r="I34" i="11" l="1"/>
  <c r="H34" i="11"/>
  <c r="G55" i="59"/>
  <c r="G51" i="59"/>
  <c r="G52" i="59"/>
  <c r="G50" i="59"/>
  <c r="I53" i="59"/>
  <c r="M22" i="59"/>
  <c r="L22" i="59"/>
  <c r="K22" i="59"/>
  <c r="J29" i="59"/>
  <c r="J34" i="59" s="1"/>
  <c r="M17" i="59"/>
  <c r="L17" i="59"/>
  <c r="K17" i="59"/>
  <c r="J17" i="59"/>
  <c r="J10" i="59"/>
  <c r="K10" i="59" s="1"/>
  <c r="L10" i="59" s="1"/>
  <c r="M10" i="59" s="1"/>
  <c r="I24" i="59" l="1"/>
  <c r="H24" i="59"/>
  <c r="K29" i="59"/>
  <c r="K34" i="59" s="1"/>
  <c r="J24" i="59"/>
  <c r="L29" i="59"/>
  <c r="L34" i="59" s="1"/>
  <c r="M29" i="59"/>
  <c r="M34" i="59" s="1"/>
  <c r="L37" i="30"/>
  <c r="C66" i="2"/>
  <c r="H25" i="59" l="1"/>
  <c r="H27" i="59" s="1"/>
  <c r="H47" i="59" s="1"/>
  <c r="I27" i="59"/>
  <c r="I47" i="59" s="1"/>
  <c r="J27" i="59"/>
  <c r="K40" i="30"/>
  <c r="K41" i="30" s="1"/>
  <c r="K32" i="30"/>
  <c r="J32" i="30" s="1"/>
  <c r="I32" i="30" s="1"/>
  <c r="O32" i="30"/>
  <c r="N32" i="30" s="1"/>
  <c r="K37" i="30"/>
  <c r="K46" i="30"/>
  <c r="K16" i="30"/>
  <c r="K22" i="30" s="1"/>
  <c r="K13" i="30"/>
  <c r="O66" i="2"/>
  <c r="H24" i="30" l="1"/>
  <c r="K29" i="30"/>
  <c r="K17" i="30"/>
  <c r="H48" i="30"/>
  <c r="H53" i="30" s="1"/>
  <c r="I48" i="30"/>
  <c r="I53" i="30" s="1"/>
  <c r="H55" i="59"/>
  <c r="H51" i="59"/>
  <c r="H50" i="59"/>
  <c r="H52" i="59"/>
  <c r="I55" i="59"/>
  <c r="I50" i="59"/>
  <c r="I52" i="59"/>
  <c r="I51" i="59"/>
  <c r="N40" i="45"/>
  <c r="M40" i="45"/>
  <c r="L40" i="45"/>
  <c r="I66" i="2"/>
  <c r="H25" i="30" l="1"/>
  <c r="H27" i="30" s="1"/>
  <c r="H47" i="30" s="1"/>
  <c r="L32" i="45"/>
  <c r="L30" i="45"/>
  <c r="K46" i="45"/>
  <c r="L41" i="45"/>
  <c r="L16" i="45"/>
  <c r="L22" i="45" s="1"/>
  <c r="F66" i="2"/>
  <c r="J66" i="2"/>
  <c r="E66" i="2"/>
  <c r="H52" i="30" l="1"/>
  <c r="H50" i="30"/>
  <c r="H51" i="30"/>
  <c r="I24" i="45"/>
  <c r="I25" i="45" s="1"/>
  <c r="L37" i="45"/>
  <c r="L29" i="45"/>
  <c r="L13" i="45"/>
  <c r="L17" i="45"/>
  <c r="L46" i="45"/>
  <c r="I48" i="45" l="1"/>
  <c r="I53" i="45" s="1"/>
  <c r="D55" i="48"/>
  <c r="D46" i="48"/>
  <c r="D41" i="48"/>
  <c r="D37" i="48"/>
  <c r="D22" i="48"/>
  <c r="D17" i="48"/>
  <c r="D13" i="48"/>
  <c r="D29" i="48" l="1"/>
  <c r="D34" i="48" s="1"/>
  <c r="O40" i="40" l="1"/>
  <c r="K40" i="40"/>
  <c r="O12" i="40"/>
  <c r="K12" i="40"/>
  <c r="G13" i="40" s="1"/>
  <c r="J46" i="40" l="1"/>
  <c r="H46" i="40"/>
  <c r="I46" i="40"/>
  <c r="K41" i="40"/>
  <c r="K37" i="40"/>
  <c r="H48" i="40" s="1"/>
  <c r="H53" i="40" s="1"/>
  <c r="K22" i="40"/>
  <c r="K17" i="40"/>
  <c r="K13" i="40"/>
  <c r="K55" i="40"/>
  <c r="K46" i="40"/>
  <c r="H24" i="40" l="1"/>
  <c r="K29" i="40"/>
  <c r="K34" i="40" s="1"/>
  <c r="H25" i="40" l="1"/>
  <c r="H27" i="40" s="1"/>
  <c r="H47" i="40" s="1"/>
  <c r="L40" i="11"/>
  <c r="L41" i="11" s="1"/>
  <c r="H52" i="40" l="1"/>
  <c r="H51" i="40"/>
  <c r="H50" i="40"/>
  <c r="L20" i="11"/>
  <c r="L33" i="11" s="1"/>
  <c r="L24" i="11"/>
  <c r="L29" i="11"/>
  <c r="L31" i="11"/>
  <c r="P31" i="11"/>
  <c r="L46" i="11" l="1"/>
  <c r="I46" i="11"/>
  <c r="L17" i="11"/>
  <c r="J46" i="11"/>
  <c r="K46" i="11"/>
  <c r="L25" i="11"/>
  <c r="L27" i="11" s="1"/>
  <c r="L47" i="11" s="1"/>
  <c r="I40" i="24"/>
  <c r="I41" i="24" s="1"/>
  <c r="I29" i="24"/>
  <c r="I27" i="24"/>
  <c r="I47" i="24"/>
  <c r="I12" i="24"/>
  <c r="M12" i="24"/>
  <c r="F46" i="24" l="1"/>
  <c r="E13" i="24"/>
  <c r="J46" i="24"/>
  <c r="K46" i="24"/>
  <c r="L46" i="24"/>
  <c r="M46" i="24"/>
  <c r="G46" i="24"/>
  <c r="H46" i="24"/>
  <c r="I46" i="24"/>
  <c r="I17" i="24"/>
  <c r="I13" i="24"/>
  <c r="L55" i="11"/>
  <c r="L50" i="11"/>
  <c r="L52" i="11"/>
  <c r="L51" i="11"/>
  <c r="I50" i="24"/>
  <c r="I51" i="24"/>
  <c r="I52" i="24"/>
  <c r="K41" i="27" l="1"/>
  <c r="O12" i="27"/>
  <c r="H46" i="27"/>
  <c r="K16" i="27"/>
  <c r="K29" i="27"/>
  <c r="J46" i="27" l="1"/>
  <c r="I46" i="27"/>
  <c r="K46" i="27"/>
  <c r="K13" i="27"/>
  <c r="K17" i="27"/>
  <c r="L48" i="49" l="1"/>
  <c r="L41" i="49" l="1"/>
  <c r="L53" i="49" s="1"/>
  <c r="L12" i="49"/>
  <c r="H13" i="49" s="1"/>
  <c r="L46" i="49" l="1"/>
  <c r="L13" i="49"/>
  <c r="L29" i="37"/>
  <c r="L41" i="37"/>
  <c r="P37" i="37"/>
  <c r="L37" i="37"/>
  <c r="L13" i="37"/>
  <c r="I48" i="37" l="1"/>
  <c r="I53" i="37" s="1"/>
  <c r="E10" i="58"/>
  <c r="D39" i="58"/>
  <c r="D42" i="58"/>
  <c r="C42" i="58" s="1"/>
  <c r="B42" i="58" s="1"/>
  <c r="C39" i="58" l="1"/>
  <c r="B39" i="58" s="1"/>
  <c r="B41" i="58" s="1"/>
  <c r="D41" i="58"/>
  <c r="E41" i="58"/>
  <c r="K55" i="58"/>
  <c r="J55" i="58"/>
  <c r="K37" i="58"/>
  <c r="J37" i="58"/>
  <c r="I37" i="58"/>
  <c r="H37" i="58"/>
  <c r="G37" i="58"/>
  <c r="F37" i="58"/>
  <c r="E37" i="58"/>
  <c r="K22" i="58"/>
  <c r="K29" i="58" s="1"/>
  <c r="J22" i="58"/>
  <c r="J29" i="58" s="1"/>
  <c r="I22" i="58"/>
  <c r="I29" i="58" s="1"/>
  <c r="H22" i="58"/>
  <c r="G22" i="58"/>
  <c r="G29" i="58" s="1"/>
  <c r="F22" i="58"/>
  <c r="F29" i="58" s="1"/>
  <c r="E22" i="58"/>
  <c r="B24" i="58" s="1"/>
  <c r="B27" i="58" s="1"/>
  <c r="B47" i="58" s="1"/>
  <c r="K17" i="58"/>
  <c r="J17" i="58"/>
  <c r="I17" i="58"/>
  <c r="H17" i="58"/>
  <c r="G17" i="58"/>
  <c r="F17" i="58"/>
  <c r="E17" i="58"/>
  <c r="G13" i="58"/>
  <c r="F13" i="58"/>
  <c r="E13" i="58"/>
  <c r="F10" i="58"/>
  <c r="G10" i="58" s="1"/>
  <c r="H10" i="58" s="1"/>
  <c r="I10" i="58" s="1"/>
  <c r="J10" i="58" s="1"/>
  <c r="K10" i="58" s="1"/>
  <c r="E48" i="58" l="1"/>
  <c r="E53" i="58" s="1"/>
  <c r="D48" i="58"/>
  <c r="D53" i="58" s="1"/>
  <c r="B48" i="58"/>
  <c r="B53" i="58" s="1"/>
  <c r="B52" i="58"/>
  <c r="B50" i="58"/>
  <c r="B51" i="58"/>
  <c r="B55" i="58"/>
  <c r="E29" i="58"/>
  <c r="D24" i="58"/>
  <c r="D27" i="58" s="1"/>
  <c r="D47" i="58" s="1"/>
  <c r="D51" i="58" s="1"/>
  <c r="C24" i="58"/>
  <c r="C27" i="58" s="1"/>
  <c r="C47" i="58" s="1"/>
  <c r="C50" i="58" s="1"/>
  <c r="C48" i="58"/>
  <c r="C41" i="58"/>
  <c r="H24" i="58"/>
  <c r="H27" i="58" s="1"/>
  <c r="E24" i="58"/>
  <c r="E27" i="58" s="1"/>
  <c r="E47" i="58" s="1"/>
  <c r="E52" i="58" s="1"/>
  <c r="H29" i="58"/>
  <c r="G24" i="58"/>
  <c r="G27" i="58" s="1"/>
  <c r="F24" i="58"/>
  <c r="F27" i="58" s="1"/>
  <c r="D46" i="57"/>
  <c r="D41" i="57"/>
  <c r="K55" i="57"/>
  <c r="J55" i="57"/>
  <c r="I55" i="57"/>
  <c r="K37" i="57"/>
  <c r="J37" i="57"/>
  <c r="I37" i="57"/>
  <c r="H37" i="57"/>
  <c r="G37" i="57"/>
  <c r="F37" i="57"/>
  <c r="E37" i="57"/>
  <c r="D37" i="57"/>
  <c r="K22" i="57"/>
  <c r="K29" i="57" s="1"/>
  <c r="J22" i="57"/>
  <c r="J29" i="57" s="1"/>
  <c r="I22" i="57"/>
  <c r="I29" i="57" s="1"/>
  <c r="H22" i="57"/>
  <c r="G22" i="57"/>
  <c r="F22" i="57"/>
  <c r="F29" i="57" s="1"/>
  <c r="E22" i="57"/>
  <c r="E29" i="57" s="1"/>
  <c r="D22" i="57"/>
  <c r="K17" i="57"/>
  <c r="J17" i="57"/>
  <c r="I17" i="57"/>
  <c r="H17" i="57"/>
  <c r="G17" i="57"/>
  <c r="F17" i="57"/>
  <c r="E17" i="57"/>
  <c r="D17" i="57"/>
  <c r="G13" i="57"/>
  <c r="F13" i="57"/>
  <c r="E13" i="57"/>
  <c r="D13" i="57"/>
  <c r="E10" i="57"/>
  <c r="F10" i="57" s="1"/>
  <c r="G10" i="57" s="1"/>
  <c r="H10" i="57" s="1"/>
  <c r="I10" i="57" s="1"/>
  <c r="J10" i="57" s="1"/>
  <c r="K10" i="57" s="1"/>
  <c r="O10" i="2"/>
  <c r="J10" i="2"/>
  <c r="E51" i="58" l="1"/>
  <c r="H24" i="57"/>
  <c r="H27" i="57" s="1"/>
  <c r="D55" i="58"/>
  <c r="D50" i="58"/>
  <c r="G24" i="57"/>
  <c r="G27" i="57" s="1"/>
  <c r="D24" i="57"/>
  <c r="C24" i="57"/>
  <c r="B24" i="57"/>
  <c r="E55" i="58"/>
  <c r="E50" i="58"/>
  <c r="D53" i="57"/>
  <c r="D52" i="58"/>
  <c r="C52" i="58"/>
  <c r="C51" i="58"/>
  <c r="C55" i="58"/>
  <c r="C53" i="58"/>
  <c r="H29" i="57"/>
  <c r="D29" i="57"/>
  <c r="E24" i="57"/>
  <c r="E27" i="57" s="1"/>
  <c r="G29" i="57"/>
  <c r="F24" i="57"/>
  <c r="F27" i="57" s="1"/>
  <c r="D40" i="55"/>
  <c r="D41" i="55" s="1"/>
  <c r="O84" i="2"/>
  <c r="C10" i="2"/>
  <c r="C84" i="2"/>
  <c r="I10" i="2"/>
  <c r="F10" i="2"/>
  <c r="J84" i="2"/>
  <c r="E10" i="2"/>
  <c r="C25" i="57" l="1"/>
  <c r="B25" i="57" s="1"/>
  <c r="B27" i="57" s="1"/>
  <c r="B47" i="57" s="1"/>
  <c r="C27" i="57"/>
  <c r="C47" i="57" s="1"/>
  <c r="D25" i="57"/>
  <c r="D27" i="57" s="1"/>
  <c r="D47" i="57" s="1"/>
  <c r="H12" i="55"/>
  <c r="H16" i="55"/>
  <c r="H22" i="55" s="1"/>
  <c r="H29" i="55" s="1"/>
  <c r="D16" i="55"/>
  <c r="E36" i="55"/>
  <c r="D36" i="55" s="1"/>
  <c r="E12" i="55"/>
  <c r="E13" i="55" s="1"/>
  <c r="E32" i="55"/>
  <c r="D32" i="55" s="1"/>
  <c r="E31" i="55"/>
  <c r="D31" i="55" s="1"/>
  <c r="J31" i="55"/>
  <c r="I31" i="55" s="1"/>
  <c r="H31" i="55" s="1"/>
  <c r="J30" i="55"/>
  <c r="I30" i="55" s="1"/>
  <c r="H30" i="55" s="1"/>
  <c r="E30" i="55"/>
  <c r="D30" i="55" s="1"/>
  <c r="D22" i="55"/>
  <c r="E22" i="55"/>
  <c r="E29" i="55" s="1"/>
  <c r="E17" i="55"/>
  <c r="F22" i="55"/>
  <c r="F17" i="55"/>
  <c r="I22" i="55"/>
  <c r="I29" i="55" s="1"/>
  <c r="I17" i="55"/>
  <c r="J22" i="55"/>
  <c r="J29" i="55" s="1"/>
  <c r="J17" i="55"/>
  <c r="J36" i="55"/>
  <c r="I36" i="55" s="1"/>
  <c r="H36" i="55" s="1"/>
  <c r="J35" i="55"/>
  <c r="I35" i="55" s="1"/>
  <c r="H35" i="55" s="1"/>
  <c r="E35" i="55"/>
  <c r="F13" i="55"/>
  <c r="K22" i="55"/>
  <c r="K29" i="55" s="1"/>
  <c r="G22" i="55"/>
  <c r="G29" i="55" s="1"/>
  <c r="G13" i="55"/>
  <c r="K17" i="55"/>
  <c r="G17" i="55"/>
  <c r="G37" i="55"/>
  <c r="K37" i="55"/>
  <c r="K32" i="55"/>
  <c r="J32" i="55" s="1"/>
  <c r="I32" i="55" s="1"/>
  <c r="H32" i="55" s="1"/>
  <c r="C55" i="2"/>
  <c r="I84" i="2"/>
  <c r="H37" i="55" l="1"/>
  <c r="D12" i="55"/>
  <c r="B46" i="55" s="1"/>
  <c r="C48" i="57"/>
  <c r="C53" i="57" s="1"/>
  <c r="D52" i="57"/>
  <c r="D55" i="57"/>
  <c r="D50" i="57"/>
  <c r="D51" i="57"/>
  <c r="D29" i="55"/>
  <c r="B24" i="55"/>
  <c r="C24" i="55"/>
  <c r="C25" i="55" s="1"/>
  <c r="C27" i="55" s="1"/>
  <c r="C47" i="55" s="1"/>
  <c r="H17" i="55"/>
  <c r="C55" i="57"/>
  <c r="C52" i="57"/>
  <c r="C50" i="57"/>
  <c r="C51" i="57"/>
  <c r="B50" i="57"/>
  <c r="B55" i="57"/>
  <c r="B52" i="57"/>
  <c r="B51" i="57"/>
  <c r="B48" i="57"/>
  <c r="B53" i="57" s="1"/>
  <c r="C46" i="55"/>
  <c r="D35" i="55"/>
  <c r="D37" i="55" s="1"/>
  <c r="D48" i="55" s="1"/>
  <c r="E37" i="55"/>
  <c r="J37" i="55"/>
  <c r="F37" i="55"/>
  <c r="D46" i="55"/>
  <c r="D17" i="55"/>
  <c r="G24" i="55"/>
  <c r="F24" i="55"/>
  <c r="D24" i="55"/>
  <c r="E24" i="55"/>
  <c r="I37" i="55"/>
  <c r="F29" i="55"/>
  <c r="E84" i="2"/>
  <c r="F84" i="2"/>
  <c r="D13" i="55" l="1"/>
  <c r="D25" i="55"/>
  <c r="D27" i="55"/>
  <c r="D47" i="55" s="1"/>
  <c r="C52" i="55"/>
  <c r="C55" i="55"/>
  <c r="C50" i="55"/>
  <c r="C51" i="55"/>
  <c r="B25" i="55"/>
  <c r="B27" i="55" s="1"/>
  <c r="B47" i="55" s="1"/>
  <c r="F25" i="55"/>
  <c r="F27" i="55" s="1"/>
  <c r="G25" i="55"/>
  <c r="G27" i="55" s="1"/>
  <c r="E25" i="55"/>
  <c r="E27" i="55" s="1"/>
  <c r="E47" i="55" s="1"/>
  <c r="D53" i="55"/>
  <c r="C48" i="55"/>
  <c r="P16" i="43"/>
  <c r="P12" i="43"/>
  <c r="P46" i="43" s="1"/>
  <c r="L46" i="43"/>
  <c r="L42" i="43"/>
  <c r="L41" i="43"/>
  <c r="B55" i="55" l="1"/>
  <c r="B52" i="55"/>
  <c r="B50" i="55"/>
  <c r="B51" i="55"/>
  <c r="D55" i="55"/>
  <c r="D50" i="55"/>
  <c r="D51" i="55"/>
  <c r="D52" i="55"/>
  <c r="L29" i="43"/>
  <c r="L34" i="43" s="1"/>
  <c r="I24" i="43"/>
  <c r="I27" i="43" s="1"/>
  <c r="I47" i="43" s="1"/>
  <c r="C53" i="55"/>
  <c r="B48" i="55"/>
  <c r="B53" i="55" s="1"/>
  <c r="L17" i="43"/>
  <c r="L13" i="43"/>
  <c r="J40" i="34"/>
  <c r="J41" i="34" s="1"/>
  <c r="J16" i="34"/>
  <c r="J22" i="34" s="1"/>
  <c r="J55" i="34"/>
  <c r="G24" i="34" l="1"/>
  <c r="G27" i="34" s="1"/>
  <c r="G47" i="34" s="1"/>
  <c r="I52" i="43"/>
  <c r="I55" i="43"/>
  <c r="I51" i="43"/>
  <c r="I50" i="43"/>
  <c r="J29" i="34"/>
  <c r="G51" i="34" l="1"/>
  <c r="G52" i="34"/>
  <c r="G50" i="34"/>
  <c r="L26" i="6" l="1"/>
  <c r="L27" i="6"/>
  <c r="L47" i="6" s="1"/>
  <c r="L22" i="6"/>
  <c r="M40" i="6"/>
  <c r="M41" i="6" s="1"/>
  <c r="N40" i="6"/>
  <c r="N41" i="6" s="1"/>
  <c r="L40" i="6"/>
  <c r="L41" i="6" s="1"/>
  <c r="P30" i="6"/>
  <c r="P31" i="6"/>
  <c r="O37" i="6"/>
  <c r="L12" i="6"/>
  <c r="I24" i="6" l="1"/>
  <c r="I26" i="6" s="1"/>
  <c r="I27" i="6" s="1"/>
  <c r="I47" i="6" s="1"/>
  <c r="L52" i="6"/>
  <c r="I46" i="6"/>
  <c r="H13" i="6"/>
  <c r="L29" i="6"/>
  <c r="L17" i="6"/>
  <c r="J46" i="6"/>
  <c r="K46" i="6"/>
  <c r="L46" i="6"/>
  <c r="L50" i="6"/>
  <c r="L55" i="6"/>
  <c r="L51" i="6"/>
  <c r="L44" i="54"/>
  <c r="L42" i="54"/>
  <c r="K42" i="54" s="1"/>
  <c r="L40" i="54"/>
  <c r="L39" i="54"/>
  <c r="L37" i="54"/>
  <c r="L33" i="54"/>
  <c r="L22" i="54"/>
  <c r="L17" i="54"/>
  <c r="L13" i="54"/>
  <c r="I52" i="6" l="1"/>
  <c r="I55" i="6"/>
  <c r="I51" i="6"/>
  <c r="I50" i="6"/>
  <c r="J42" i="54"/>
  <c r="K55" i="54"/>
  <c r="I48" i="54"/>
  <c r="I53" i="54" s="1"/>
  <c r="L50" i="54"/>
  <c r="L29" i="54"/>
  <c r="L34" i="54" s="1"/>
  <c r="I24" i="54"/>
  <c r="I42" i="54" l="1"/>
  <c r="H42" i="54" s="1"/>
  <c r="J55" i="54"/>
  <c r="I25" i="54"/>
  <c r="I27" i="54" s="1"/>
  <c r="I47" i="54" s="1"/>
  <c r="L21" i="44"/>
  <c r="H55" i="54" l="1"/>
  <c r="G42" i="54"/>
  <c r="I50" i="54"/>
  <c r="I51" i="54"/>
  <c r="I55" i="54"/>
  <c r="I52" i="54"/>
  <c r="F42" i="54" l="1"/>
  <c r="G55" i="54"/>
  <c r="L40" i="44"/>
  <c r="L41" i="44" s="1"/>
  <c r="L42" i="44"/>
  <c r="L12" i="44"/>
  <c r="E42" i="54" l="1"/>
  <c r="F55" i="54"/>
  <c r="H13" i="44"/>
  <c r="I46" i="44"/>
  <c r="J46" i="44"/>
  <c r="K46" i="44"/>
  <c r="L46" i="44"/>
  <c r="B24" i="18"/>
  <c r="B40" i="18"/>
  <c r="B41" i="18" s="1"/>
  <c r="B31" i="18"/>
  <c r="B30" i="18"/>
  <c r="F31" i="18"/>
  <c r="F30" i="18"/>
  <c r="B36" i="18"/>
  <c r="B35" i="18"/>
  <c r="B37" i="18" s="1"/>
  <c r="F36" i="18"/>
  <c r="F35" i="18"/>
  <c r="B55" i="18"/>
  <c r="F22" i="18"/>
  <c r="B22" i="18"/>
  <c r="F12" i="18"/>
  <c r="F46" i="18" s="1"/>
  <c r="B12" i="18"/>
  <c r="B17" i="18" s="1"/>
  <c r="E55" i="54" l="1"/>
  <c r="D42" i="54"/>
  <c r="F17" i="18"/>
  <c r="C46" i="18"/>
  <c r="D46" i="18"/>
  <c r="F37" i="18"/>
  <c r="B46" i="18"/>
  <c r="E46" i="18"/>
  <c r="B13" i="18"/>
  <c r="B29" i="18"/>
  <c r="F29" i="18"/>
  <c r="I22" i="33"/>
  <c r="E22" i="33"/>
  <c r="B41" i="33"/>
  <c r="B22" i="33"/>
  <c r="B29" i="33" s="1"/>
  <c r="B37" i="33"/>
  <c r="B32" i="33"/>
  <c r="F32" i="33"/>
  <c r="B12" i="33"/>
  <c r="B46" i="33" s="1"/>
  <c r="C42" i="54" l="1"/>
  <c r="C55" i="54" s="1"/>
  <c r="D55" i="54"/>
  <c r="B13" i="33"/>
  <c r="B24" i="33"/>
  <c r="B27" i="33" s="1"/>
  <c r="B47" i="33" s="1"/>
  <c r="B51" i="33" s="1"/>
  <c r="B52" i="33"/>
  <c r="B17" i="33"/>
  <c r="L46" i="41"/>
  <c r="L41" i="41"/>
  <c r="L37" i="41"/>
  <c r="L22" i="41"/>
  <c r="L17" i="41"/>
  <c r="B50" i="33" l="1"/>
  <c r="L29" i="41"/>
  <c r="L34" i="41" s="1"/>
  <c r="I24" i="41"/>
  <c r="I27" i="41" s="1"/>
  <c r="I47" i="41" s="1"/>
  <c r="I48" i="41"/>
  <c r="I53" i="41" s="1"/>
  <c r="E41" i="48"/>
  <c r="E55" i="48"/>
  <c r="E46" i="48"/>
  <c r="E37" i="48"/>
  <c r="E22" i="48"/>
  <c r="E17" i="48"/>
  <c r="E13" i="48"/>
  <c r="E29" i="48" l="1"/>
  <c r="E34" i="48" s="1"/>
  <c r="B24" i="48"/>
  <c r="B27" i="48" s="1"/>
  <c r="B47" i="48" s="1"/>
  <c r="I50" i="41"/>
  <c r="I55" i="41"/>
  <c r="I52" i="41"/>
  <c r="I51" i="41"/>
  <c r="B48" i="48"/>
  <c r="B53" i="48" s="1"/>
  <c r="B52" i="48" l="1"/>
  <c r="B50" i="48"/>
  <c r="B51" i="48"/>
  <c r="P12" i="13"/>
  <c r="L21" i="13"/>
  <c r="L33" i="13" s="1"/>
  <c r="L25" i="13"/>
  <c r="L47" i="13"/>
  <c r="L52" i="13" s="1"/>
  <c r="L16" i="13"/>
  <c r="L24" i="13"/>
  <c r="L41" i="13"/>
  <c r="L29" i="13"/>
  <c r="L37" i="13"/>
  <c r="I48" i="13" s="1"/>
  <c r="I53" i="13" s="1"/>
  <c r="L12" i="13"/>
  <c r="L55" i="13"/>
  <c r="L46" i="13"/>
  <c r="H13" i="13" l="1"/>
  <c r="I46" i="13"/>
  <c r="J46" i="13"/>
  <c r="K46" i="13"/>
  <c r="L17" i="13"/>
  <c r="L13" i="13"/>
  <c r="L34" i="13"/>
  <c r="L50" i="13"/>
  <c r="L51" i="13"/>
  <c r="N40" i="20"/>
  <c r="N37" i="20"/>
  <c r="N46" i="20"/>
  <c r="L22" i="20"/>
  <c r="L17" i="20"/>
  <c r="M22" i="20"/>
  <c r="M29" i="20" s="1"/>
  <c r="M17" i="20"/>
  <c r="N22" i="20"/>
  <c r="N17" i="20"/>
  <c r="O22" i="20"/>
  <c r="O17" i="20"/>
  <c r="P22" i="20"/>
  <c r="P17" i="20"/>
  <c r="Q22" i="20"/>
  <c r="Q17" i="20"/>
  <c r="R22" i="20"/>
  <c r="R17" i="20"/>
  <c r="S22" i="20"/>
  <c r="L13" i="20"/>
  <c r="M13" i="20"/>
  <c r="L46" i="20"/>
  <c r="M46" i="20"/>
  <c r="L40" i="20"/>
  <c r="L41" i="20" s="1"/>
  <c r="L53" i="20" s="1"/>
  <c r="J24" i="20" l="1"/>
  <c r="I24" i="20"/>
  <c r="K24" i="20"/>
  <c r="K26" i="20" s="1"/>
  <c r="K27" i="20" s="1"/>
  <c r="K47" i="20" s="1"/>
  <c r="L29" i="20"/>
  <c r="J26" i="20"/>
  <c r="J27" i="20" s="1"/>
  <c r="J47" i="20" s="1"/>
  <c r="M24" i="20"/>
  <c r="L24" i="20"/>
  <c r="L26" i="20" s="1"/>
  <c r="L27" i="20" s="1"/>
  <c r="L47" i="20" s="1"/>
  <c r="L50" i="20" s="1"/>
  <c r="K40" i="39"/>
  <c r="K41" i="39" s="1"/>
  <c r="K32" i="39"/>
  <c r="J32" i="39" s="1"/>
  <c r="K37" i="39"/>
  <c r="H48" i="39" s="1"/>
  <c r="H53" i="39" s="1"/>
  <c r="K29" i="39"/>
  <c r="K27" i="39"/>
  <c r="K47" i="39" s="1"/>
  <c r="K17" i="39"/>
  <c r="K13" i="39"/>
  <c r="I26" i="20" l="1"/>
  <c r="I27" i="20" s="1"/>
  <c r="I47" i="20" s="1"/>
  <c r="J50" i="20"/>
  <c r="J51" i="20"/>
  <c r="J52" i="20"/>
  <c r="J55" i="20"/>
  <c r="K55" i="20"/>
  <c r="K50" i="20"/>
  <c r="K52" i="20"/>
  <c r="K51" i="20"/>
  <c r="K50" i="39"/>
  <c r="K55" i="39"/>
  <c r="L55" i="20"/>
  <c r="L52" i="20"/>
  <c r="L51" i="20"/>
  <c r="K51" i="39"/>
  <c r="K52" i="39"/>
  <c r="O57" i="2"/>
  <c r="I50" i="20" l="1"/>
  <c r="I55" i="20"/>
  <c r="I51" i="20"/>
  <c r="I52" i="20"/>
  <c r="H41" i="9"/>
  <c r="H55" i="9"/>
  <c r="H47" i="9"/>
  <c r="H46" i="9"/>
  <c r="J57" i="2"/>
  <c r="I57" i="2"/>
  <c r="H51" i="9" l="1"/>
  <c r="H52" i="9"/>
  <c r="H50" i="9"/>
  <c r="E57" i="2"/>
  <c r="K40" i="38" l="1"/>
  <c r="K41" i="38"/>
  <c r="K29" i="38"/>
  <c r="K35" i="38" s="1"/>
  <c r="K37" i="38" s="1"/>
  <c r="H48" i="38" s="1"/>
  <c r="H53" i="38" s="1"/>
  <c r="K24" i="38"/>
  <c r="K27" i="38" s="1"/>
  <c r="K47" i="38" s="1"/>
  <c r="K50" i="38" s="1"/>
  <c r="K17" i="38"/>
  <c r="K13" i="38"/>
  <c r="K46" i="38"/>
  <c r="K55" i="38" l="1"/>
  <c r="K51" i="38"/>
  <c r="K52" i="38"/>
  <c r="F42" i="17"/>
  <c r="F40" i="17"/>
  <c r="F41" i="17" s="1"/>
  <c r="E26" i="17"/>
  <c r="E42" i="17"/>
  <c r="E40" i="17"/>
  <c r="E41" i="17" s="1"/>
  <c r="E53" i="17" s="1"/>
  <c r="E37" i="17"/>
  <c r="E27" i="17"/>
  <c r="E47" i="17" s="1"/>
  <c r="E22" i="17"/>
  <c r="E29" i="17" s="1"/>
  <c r="E17" i="17"/>
  <c r="E52" i="17" l="1"/>
  <c r="E51" i="17"/>
  <c r="E55" i="17"/>
  <c r="E50" i="17"/>
  <c r="W22" i="30"/>
  <c r="V22" i="30"/>
  <c r="U22" i="30"/>
  <c r="T22" i="30"/>
  <c r="S22" i="30"/>
  <c r="R22" i="30"/>
  <c r="Q22" i="30"/>
  <c r="P22" i="30"/>
  <c r="O22" i="30"/>
  <c r="N22" i="30"/>
  <c r="M22" i="30"/>
  <c r="X12" i="30"/>
  <c r="V46" i="30" s="1"/>
  <c r="Y12" i="30"/>
  <c r="X16" i="30"/>
  <c r="Y16" i="30"/>
  <c r="Y17" i="30" s="1"/>
  <c r="X30" i="30"/>
  <c r="Y30" i="30"/>
  <c r="X32" i="30"/>
  <c r="Y32" i="30"/>
  <c r="X35" i="30"/>
  <c r="Y35" i="30"/>
  <c r="X36" i="30"/>
  <c r="Y36" i="30"/>
  <c r="X55" i="30"/>
  <c r="Y55" i="30"/>
  <c r="U13" i="30"/>
  <c r="U46" i="30"/>
  <c r="AA10" i="30"/>
  <c r="AB10" i="30"/>
  <c r="AK10" i="30" s="1"/>
  <c r="AC10" i="30"/>
  <c r="AL10" i="30" s="1"/>
  <c r="AD10" i="30"/>
  <c r="AM10" i="30" s="1"/>
  <c r="AE10" i="30"/>
  <c r="AF10" i="30"/>
  <c r="AO10" i="30" s="1"/>
  <c r="AG10" i="30"/>
  <c r="AP10" i="30" s="1"/>
  <c r="AH10" i="30"/>
  <c r="AQ10" i="30" s="1"/>
  <c r="AJ10" i="30"/>
  <c r="AN10" i="30"/>
  <c r="AA21" i="30"/>
  <c r="AB21" i="30"/>
  <c r="AC21" i="30"/>
  <c r="AD21" i="30"/>
  <c r="AE21" i="30"/>
  <c r="AF21" i="30"/>
  <c r="AG21" i="30"/>
  <c r="AH21" i="30"/>
  <c r="AJ22" i="30"/>
  <c r="AK22" i="30"/>
  <c r="AL22" i="30"/>
  <c r="AM22" i="30"/>
  <c r="AN22" i="30"/>
  <c r="AO22" i="30"/>
  <c r="AP22" i="30"/>
  <c r="X22" i="30" s="1"/>
  <c r="AQ22" i="30"/>
  <c r="Y22" i="30" s="1"/>
  <c r="AJ31" i="30"/>
  <c r="AK31" i="30"/>
  <c r="AL31" i="30"/>
  <c r="AM31" i="30"/>
  <c r="AN31" i="30"/>
  <c r="AO31" i="30"/>
  <c r="AP31" i="30"/>
  <c r="X31" i="30" s="1"/>
  <c r="AQ31" i="30"/>
  <c r="Y31" i="30" s="1"/>
  <c r="AA37" i="30"/>
  <c r="AB37" i="30"/>
  <c r="AC37" i="30"/>
  <c r="AD37" i="30"/>
  <c r="AE37" i="30"/>
  <c r="AF37" i="30"/>
  <c r="AG37" i="30"/>
  <c r="AH37" i="30"/>
  <c r="AJ37" i="30"/>
  <c r="AK37" i="30"/>
  <c r="AL37" i="30"/>
  <c r="AM37" i="30"/>
  <c r="AN37" i="30"/>
  <c r="AO37" i="30"/>
  <c r="AP37" i="30"/>
  <c r="AQ37" i="30"/>
  <c r="L44" i="30"/>
  <c r="L42" i="30"/>
  <c r="L46" i="30"/>
  <c r="L22" i="30"/>
  <c r="L17" i="30"/>
  <c r="L13" i="30"/>
  <c r="T13" i="30" l="1"/>
  <c r="X37" i="30"/>
  <c r="Y37" i="30"/>
  <c r="X17" i="30"/>
  <c r="L55" i="30"/>
  <c r="K42" i="30"/>
  <c r="I24" i="30"/>
  <c r="L29" i="30"/>
  <c r="J24" i="30"/>
  <c r="K24" i="30"/>
  <c r="K25" i="30" s="1"/>
  <c r="K27" i="30" s="1"/>
  <c r="K47" i="30" s="1"/>
  <c r="X21" i="30"/>
  <c r="X29" i="30"/>
  <c r="Y21" i="30"/>
  <c r="Y29" i="30"/>
  <c r="L33" i="26"/>
  <c r="K33" i="26"/>
  <c r="J33" i="26"/>
  <c r="I33" i="26"/>
  <c r="H33" i="26"/>
  <c r="G33" i="26"/>
  <c r="F33" i="26"/>
  <c r="E33" i="26"/>
  <c r="H41" i="26"/>
  <c r="G41" i="26"/>
  <c r="I41" i="26"/>
  <c r="E41" i="26"/>
  <c r="F41" i="26"/>
  <c r="E46" i="26"/>
  <c r="E37" i="26"/>
  <c r="B48" i="26" s="1"/>
  <c r="B53" i="26" s="1"/>
  <c r="E22" i="26"/>
  <c r="B24" i="26" s="1"/>
  <c r="B27" i="26" s="1"/>
  <c r="B47" i="26" s="1"/>
  <c r="E17" i="26"/>
  <c r="E13" i="26"/>
  <c r="J42" i="30" l="1"/>
  <c r="K55" i="30"/>
  <c r="J25" i="30"/>
  <c r="J27" i="30" s="1"/>
  <c r="J47" i="30" s="1"/>
  <c r="I25" i="30"/>
  <c r="I27" i="30" s="1"/>
  <c r="I47" i="30" s="1"/>
  <c r="B50" i="26"/>
  <c r="B52" i="26"/>
  <c r="B51" i="26"/>
  <c r="E29" i="26"/>
  <c r="E34" i="26" s="1"/>
  <c r="K50" i="30"/>
  <c r="K52" i="30"/>
  <c r="K51" i="30"/>
  <c r="P12" i="23"/>
  <c r="L42" i="23"/>
  <c r="L19" i="23"/>
  <c r="I42" i="30" l="1"/>
  <c r="J55" i="30"/>
  <c r="J52" i="30"/>
  <c r="J51" i="30"/>
  <c r="J50" i="30"/>
  <c r="I50" i="30"/>
  <c r="I51" i="30"/>
  <c r="I52" i="30"/>
  <c r="L50" i="12"/>
  <c r="L41" i="12"/>
  <c r="L52" i="12" s="1"/>
  <c r="L37" i="12"/>
  <c r="I53" i="12" s="1"/>
  <c r="L22" i="12"/>
  <c r="L17" i="12"/>
  <c r="L13" i="12"/>
  <c r="C36" i="2"/>
  <c r="L29" i="12" l="1"/>
  <c r="H42" i="30"/>
  <c r="I55" i="30"/>
  <c r="L55" i="12"/>
  <c r="L51" i="12"/>
  <c r="C39" i="2"/>
  <c r="H55" i="30" l="1"/>
  <c r="G42" i="30"/>
  <c r="G40" i="35"/>
  <c r="G41" i="35" s="1"/>
  <c r="K32" i="35"/>
  <c r="G37" i="35"/>
  <c r="D48" i="35" s="1"/>
  <c r="D53" i="35" s="1"/>
  <c r="K35" i="35"/>
  <c r="G46" i="35"/>
  <c r="F42" i="30" l="1"/>
  <c r="G55" i="30"/>
  <c r="F46" i="35"/>
  <c r="E46" i="35"/>
  <c r="M40" i="15"/>
  <c r="N40" i="15"/>
  <c r="O40" i="15"/>
  <c r="S22" i="15"/>
  <c r="R22" i="15"/>
  <c r="Q22" i="15"/>
  <c r="P22" i="15"/>
  <c r="O22" i="15"/>
  <c r="N22" i="15"/>
  <c r="M22" i="15"/>
  <c r="L22" i="15"/>
  <c r="K22" i="15"/>
  <c r="K41" i="15"/>
  <c r="J40" i="15"/>
  <c r="J41" i="15" s="1"/>
  <c r="J37" i="15"/>
  <c r="J22" i="15"/>
  <c r="J17" i="15"/>
  <c r="J13" i="15"/>
  <c r="E42" i="30" l="1"/>
  <c r="F55" i="30"/>
  <c r="G24" i="15"/>
  <c r="H24" i="15"/>
  <c r="G48" i="15"/>
  <c r="G53" i="15" s="1"/>
  <c r="J29" i="15"/>
  <c r="I24" i="15"/>
  <c r="I26" i="15" s="1"/>
  <c r="I27" i="15" s="1"/>
  <c r="I47" i="15" s="1"/>
  <c r="L24" i="15"/>
  <c r="M24" i="15"/>
  <c r="I40" i="36"/>
  <c r="I41" i="36" s="1"/>
  <c r="I12" i="36"/>
  <c r="E55" i="30" l="1"/>
  <c r="D42" i="30"/>
  <c r="I46" i="36"/>
  <c r="E13" i="36"/>
  <c r="F46" i="36"/>
  <c r="G46" i="36"/>
  <c r="H46" i="36"/>
  <c r="H26" i="15"/>
  <c r="G26" i="15" s="1"/>
  <c r="H27" i="15"/>
  <c r="H47" i="15" s="1"/>
  <c r="G25" i="15"/>
  <c r="G27" i="15" s="1"/>
  <c r="G47" i="15" s="1"/>
  <c r="I51" i="15"/>
  <c r="I55" i="15"/>
  <c r="I50" i="15"/>
  <c r="I52" i="15"/>
  <c r="K12" i="56"/>
  <c r="K17" i="56"/>
  <c r="G12" i="56"/>
  <c r="C13" i="56" s="1"/>
  <c r="H30" i="56"/>
  <c r="G30" i="56" s="1"/>
  <c r="I36" i="56"/>
  <c r="H36" i="56" s="1"/>
  <c r="M36" i="56"/>
  <c r="L36" i="56" s="1"/>
  <c r="K36" i="56" s="1"/>
  <c r="I35" i="56"/>
  <c r="H35" i="56" s="1"/>
  <c r="G35" i="56" s="1"/>
  <c r="M35" i="56"/>
  <c r="L35" i="56" s="1"/>
  <c r="H33" i="56"/>
  <c r="I33" i="56"/>
  <c r="J33" i="56"/>
  <c r="K33" i="56"/>
  <c r="L33" i="56"/>
  <c r="M33" i="56"/>
  <c r="N33" i="56"/>
  <c r="H31" i="56"/>
  <c r="G31" i="56" s="1"/>
  <c r="N31" i="56"/>
  <c r="M31" i="56" s="1"/>
  <c r="L31" i="56" s="1"/>
  <c r="K31" i="56" s="1"/>
  <c r="N30" i="56"/>
  <c r="M30" i="56" s="1"/>
  <c r="L30" i="56" s="1"/>
  <c r="K30" i="56" s="1"/>
  <c r="N32" i="56"/>
  <c r="M32" i="56" s="1"/>
  <c r="L32" i="56" s="1"/>
  <c r="K32" i="56" s="1"/>
  <c r="H32" i="56"/>
  <c r="G32" i="56" s="1"/>
  <c r="G40" i="56"/>
  <c r="G41" i="56" s="1"/>
  <c r="G55" i="56" s="1"/>
  <c r="N55" i="56"/>
  <c r="M55" i="56"/>
  <c r="N37" i="56"/>
  <c r="J37" i="56"/>
  <c r="N22" i="56"/>
  <c r="N29" i="56" s="1"/>
  <c r="M22" i="56"/>
  <c r="M29" i="56" s="1"/>
  <c r="L22" i="56"/>
  <c r="L29" i="56" s="1"/>
  <c r="K22" i="56"/>
  <c r="K29" i="56" s="1"/>
  <c r="J22" i="56"/>
  <c r="I22" i="56"/>
  <c r="I29" i="56" s="1"/>
  <c r="H22" i="56"/>
  <c r="H29" i="56" s="1"/>
  <c r="G22" i="56"/>
  <c r="D24" i="56" s="1"/>
  <c r="N17" i="56"/>
  <c r="M17" i="56"/>
  <c r="L17" i="56"/>
  <c r="J17" i="56"/>
  <c r="I17" i="56"/>
  <c r="H17" i="56"/>
  <c r="J13" i="56"/>
  <c r="I13" i="56"/>
  <c r="H13" i="56"/>
  <c r="H10" i="56"/>
  <c r="I10" i="56" s="1"/>
  <c r="J10" i="56" s="1"/>
  <c r="K10" i="56" s="1"/>
  <c r="L10" i="56" s="1"/>
  <c r="M10" i="56" s="1"/>
  <c r="N10" i="56" s="1"/>
  <c r="C42" i="30" l="1"/>
  <c r="C55" i="30" s="1"/>
  <c r="D55" i="30"/>
  <c r="G51" i="15"/>
  <c r="G55" i="15"/>
  <c r="G52" i="15"/>
  <c r="G50" i="15"/>
  <c r="H50" i="15"/>
  <c r="H55" i="15"/>
  <c r="H51" i="15"/>
  <c r="H52" i="15"/>
  <c r="D26" i="56"/>
  <c r="D27" i="56" s="1"/>
  <c r="D47" i="56" s="1"/>
  <c r="E24" i="56"/>
  <c r="G29" i="56"/>
  <c r="F24" i="56"/>
  <c r="N34" i="56"/>
  <c r="M37" i="56"/>
  <c r="I34" i="56"/>
  <c r="G36" i="56"/>
  <c r="G37" i="56" s="1"/>
  <c r="H37" i="56"/>
  <c r="L37" i="56"/>
  <c r="L34" i="56"/>
  <c r="K35" i="56"/>
  <c r="H34" i="56"/>
  <c r="I37" i="56"/>
  <c r="M34" i="56"/>
  <c r="G33" i="56"/>
  <c r="G13" i="56"/>
  <c r="G17" i="56"/>
  <c r="J24" i="56"/>
  <c r="J27" i="56" s="1"/>
  <c r="K24" i="56"/>
  <c r="K27" i="56" s="1"/>
  <c r="G24" i="56"/>
  <c r="G27" i="56" s="1"/>
  <c r="G52" i="56"/>
  <c r="G51" i="56"/>
  <c r="G50" i="56"/>
  <c r="H24" i="56"/>
  <c r="H27" i="56" s="1"/>
  <c r="J29" i="56"/>
  <c r="J34" i="56" s="1"/>
  <c r="I24" i="56"/>
  <c r="I27" i="56" s="1"/>
  <c r="K40" i="7"/>
  <c r="Q46" i="7"/>
  <c r="R46" i="7"/>
  <c r="O92" i="2"/>
  <c r="C92" i="2"/>
  <c r="F48" i="56" l="1"/>
  <c r="D48" i="56"/>
  <c r="D53" i="56" s="1"/>
  <c r="E48" i="56"/>
  <c r="E53" i="56" s="1"/>
  <c r="D50" i="56"/>
  <c r="D55" i="56"/>
  <c r="D51" i="56"/>
  <c r="D52" i="56"/>
  <c r="E26" i="56"/>
  <c r="E27" i="56" s="1"/>
  <c r="E47" i="56" s="1"/>
  <c r="G34" i="56"/>
  <c r="F26" i="56"/>
  <c r="F27" i="56" s="1"/>
  <c r="F47" i="56" s="1"/>
  <c r="F52" i="56" s="1"/>
  <c r="G53" i="56"/>
  <c r="F53" i="56"/>
  <c r="K41" i="7"/>
  <c r="K34" i="56"/>
  <c r="K37" i="56"/>
  <c r="B42" i="14"/>
  <c r="B41" i="14"/>
  <c r="B30" i="14"/>
  <c r="F30" i="14"/>
  <c r="I92" i="2"/>
  <c r="F51" i="56" l="1"/>
  <c r="E52" i="56"/>
  <c r="E55" i="56"/>
  <c r="E50" i="56"/>
  <c r="E51" i="56"/>
  <c r="F55" i="56"/>
  <c r="F50" i="56"/>
  <c r="B16" i="14"/>
  <c r="B22" i="14" s="1"/>
  <c r="B29" i="14" s="1"/>
  <c r="F16" i="14"/>
  <c r="B12" i="14"/>
  <c r="B46" i="14"/>
  <c r="J92" i="2"/>
  <c r="B17" i="14" l="1"/>
  <c r="L42" i="8"/>
  <c r="L40" i="8"/>
  <c r="L41" i="8" s="1"/>
  <c r="L22" i="8"/>
  <c r="L12" i="8"/>
  <c r="F92" i="2"/>
  <c r="E92" i="2"/>
  <c r="L46" i="8" l="1"/>
  <c r="H13" i="8"/>
  <c r="I46" i="8"/>
  <c r="J46" i="8"/>
  <c r="K46" i="8"/>
  <c r="L29" i="8"/>
  <c r="I24" i="8"/>
  <c r="I27" i="8" s="1"/>
  <c r="I47" i="8" s="1"/>
  <c r="L17" i="8"/>
  <c r="E40" i="55"/>
  <c r="E41" i="55" s="1"/>
  <c r="K55" i="55"/>
  <c r="F10" i="55"/>
  <c r="G10" i="55" s="1"/>
  <c r="H10" i="55" s="1"/>
  <c r="I10" i="55" s="1"/>
  <c r="J10" i="55" s="1"/>
  <c r="K10" i="55" s="1"/>
  <c r="I50" i="8" l="1"/>
  <c r="I55" i="8"/>
  <c r="I51" i="8"/>
  <c r="I52" i="8"/>
  <c r="E53" i="55"/>
  <c r="E55" i="55"/>
  <c r="E52" i="55"/>
  <c r="E51" i="55"/>
  <c r="E50" i="55"/>
  <c r="K42" i="16"/>
  <c r="K40" i="16"/>
  <c r="K41" i="16" s="1"/>
  <c r="L40" i="16"/>
  <c r="K12" i="16"/>
  <c r="I62" i="2"/>
  <c r="I5" i="2"/>
  <c r="I3" i="2"/>
  <c r="K46" i="16" l="1"/>
  <c r="G13" i="16"/>
  <c r="H46" i="16"/>
  <c r="I46" i="16"/>
  <c r="J46" i="16"/>
  <c r="K42" i="3"/>
  <c r="K40" i="3"/>
  <c r="K41" i="3" s="1"/>
  <c r="K12" i="3"/>
  <c r="I20" i="2"/>
  <c r="I19" i="2"/>
  <c r="J46" i="3" l="1"/>
  <c r="G13" i="3"/>
  <c r="H46" i="3"/>
  <c r="I46" i="3"/>
  <c r="K46" i="3"/>
  <c r="M41" i="54"/>
  <c r="S33" i="54"/>
  <c r="R33" i="54"/>
  <c r="Q33" i="54"/>
  <c r="P33" i="54"/>
  <c r="O33" i="54"/>
  <c r="N33" i="54"/>
  <c r="M33" i="54"/>
  <c r="S55" i="54"/>
  <c r="R55" i="54"/>
  <c r="S37" i="54"/>
  <c r="R37" i="54"/>
  <c r="Q37" i="54"/>
  <c r="P37" i="54"/>
  <c r="O37" i="54"/>
  <c r="N37" i="54"/>
  <c r="M37" i="54"/>
  <c r="S22" i="54"/>
  <c r="S29" i="54" s="1"/>
  <c r="R22" i="54"/>
  <c r="R29" i="54" s="1"/>
  <c r="R34" i="54" s="1"/>
  <c r="Q22" i="54"/>
  <c r="Q29" i="54" s="1"/>
  <c r="Q34" i="54" s="1"/>
  <c r="P22" i="54"/>
  <c r="P29" i="54" s="1"/>
  <c r="P34" i="54" s="1"/>
  <c r="O22" i="54"/>
  <c r="O29" i="54" s="1"/>
  <c r="N22" i="54"/>
  <c r="M22" i="54"/>
  <c r="S17" i="54"/>
  <c r="R17" i="54"/>
  <c r="Q17" i="54"/>
  <c r="P17" i="54"/>
  <c r="O17" i="54"/>
  <c r="N17" i="54"/>
  <c r="M17" i="54"/>
  <c r="O13" i="54"/>
  <c r="N13" i="54"/>
  <c r="M13" i="54"/>
  <c r="N10" i="54"/>
  <c r="O10" i="54" s="1"/>
  <c r="P10" i="54" s="1"/>
  <c r="Q10" i="54" s="1"/>
  <c r="R10" i="54" s="1"/>
  <c r="S10" i="54" s="1"/>
  <c r="I21" i="2"/>
  <c r="S34" i="54" l="1"/>
  <c r="M48" i="54"/>
  <c r="K48" i="54"/>
  <c r="K53" i="54" s="1"/>
  <c r="L48" i="54"/>
  <c r="J48" i="54"/>
  <c r="J53" i="54" s="1"/>
  <c r="M55" i="54"/>
  <c r="L41" i="54"/>
  <c r="M29" i="54"/>
  <c r="M34" i="54" s="1"/>
  <c r="J24" i="54"/>
  <c r="K24" i="54"/>
  <c r="L24" i="54"/>
  <c r="O34" i="54"/>
  <c r="N24" i="54"/>
  <c r="N27" i="54" s="1"/>
  <c r="M53" i="54"/>
  <c r="M24" i="54"/>
  <c r="N29" i="54"/>
  <c r="N34" i="54" s="1"/>
  <c r="O24" i="54"/>
  <c r="O27" i="54" s="1"/>
  <c r="P24" i="54"/>
  <c r="P27" i="54" s="1"/>
  <c r="G41" i="53"/>
  <c r="G55" i="53" s="1"/>
  <c r="J37" i="53"/>
  <c r="H10" i="53"/>
  <c r="I10" i="53" s="1"/>
  <c r="J10" i="53" s="1"/>
  <c r="I55" i="2"/>
  <c r="L53" i="54" l="1"/>
  <c r="J25" i="54"/>
  <c r="J27" i="54" s="1"/>
  <c r="M25" i="54"/>
  <c r="M27" i="54" s="1"/>
  <c r="M51" i="54" s="1"/>
  <c r="L25" i="54"/>
  <c r="L27" i="54" s="1"/>
  <c r="L55" i="54"/>
  <c r="L52" i="54"/>
  <c r="L51" i="54"/>
  <c r="K25" i="54"/>
  <c r="K27" i="54" s="1"/>
  <c r="E53" i="53"/>
  <c r="F53" i="53"/>
  <c r="G53" i="53"/>
  <c r="M52" i="54"/>
  <c r="M50" i="54"/>
  <c r="G52" i="53"/>
  <c r="G51" i="53"/>
  <c r="G50" i="53"/>
  <c r="J29" i="53"/>
  <c r="J34" i="53" s="1"/>
  <c r="K50" i="21"/>
  <c r="K55" i="21"/>
  <c r="I25" i="2"/>
  <c r="I83" i="2"/>
  <c r="K52" i="21" l="1"/>
  <c r="K51" i="21"/>
  <c r="G40" i="17"/>
  <c r="G41" i="17"/>
  <c r="G53" i="17" s="1"/>
  <c r="F37" i="17"/>
  <c r="F22" i="17"/>
  <c r="F17" i="17"/>
  <c r="G17" i="17"/>
  <c r="G37" i="17"/>
  <c r="C48" i="17" s="1"/>
  <c r="G22" i="17"/>
  <c r="O39" i="2"/>
  <c r="O94" i="2"/>
  <c r="I58" i="2"/>
  <c r="I91" i="2"/>
  <c r="B48" i="17" l="1"/>
  <c r="B53" i="17" s="1"/>
  <c r="G29" i="17"/>
  <c r="C47" i="17"/>
  <c r="F24" i="17"/>
  <c r="F29" i="17"/>
  <c r="F53" i="17"/>
  <c r="G24" i="17"/>
  <c r="G27" i="17" s="1"/>
  <c r="G47" i="17" s="1"/>
  <c r="G50" i="17" s="1"/>
  <c r="I41" i="2"/>
  <c r="I53" i="2"/>
  <c r="F26" i="17" l="1"/>
  <c r="F27" i="17" s="1"/>
  <c r="F47" i="17" s="1"/>
  <c r="G51" i="17"/>
  <c r="G52" i="17"/>
  <c r="G55" i="17"/>
  <c r="I73" i="2"/>
  <c r="I71" i="2"/>
  <c r="F55" i="17" l="1"/>
  <c r="F51" i="17"/>
  <c r="F52" i="17"/>
  <c r="F50" i="17"/>
  <c r="N44" i="7"/>
  <c r="M44" i="7" s="1"/>
  <c r="M41" i="7"/>
  <c r="N41" i="7"/>
  <c r="O41" i="7"/>
  <c r="R22" i="7"/>
  <c r="R29" i="7" s="1"/>
  <c r="R35" i="7" s="1"/>
  <c r="R37" i="7" s="1"/>
  <c r="R17" i="7"/>
  <c r="N22" i="7"/>
  <c r="N17" i="7"/>
  <c r="N13" i="7"/>
  <c r="Q36" i="7"/>
  <c r="P36" i="7" s="1"/>
  <c r="O36" i="7" s="1"/>
  <c r="Q32" i="7"/>
  <c r="P32" i="7" s="1"/>
  <c r="O32" i="7" s="1"/>
  <c r="Q16" i="7"/>
  <c r="Q12" i="7"/>
  <c r="P12" i="7" s="1"/>
  <c r="O12" i="7" s="1"/>
  <c r="L40" i="7"/>
  <c r="L41" i="7" s="1"/>
  <c r="E5" i="2"/>
  <c r="Q17" i="7" l="1"/>
  <c r="M46" i="7"/>
  <c r="P16" i="7"/>
  <c r="P17" i="7" s="1"/>
  <c r="O46" i="7"/>
  <c r="N46" i="7"/>
  <c r="K22" i="7"/>
  <c r="H24" i="7" s="1"/>
  <c r="H27" i="7" s="1"/>
  <c r="H47" i="7" s="1"/>
  <c r="N29" i="7"/>
  <c r="Q22" i="7"/>
  <c r="Q29" i="7" s="1"/>
  <c r="Q35" i="7" s="1"/>
  <c r="Q37" i="7" s="1"/>
  <c r="L13" i="7"/>
  <c r="M13" i="7"/>
  <c r="M22" i="7"/>
  <c r="M17" i="7"/>
  <c r="L17" i="7"/>
  <c r="J40" i="17"/>
  <c r="O27" i="2"/>
  <c r="I43" i="2"/>
  <c r="O21" i="2"/>
  <c r="C21" i="2"/>
  <c r="I94" i="2"/>
  <c r="I100" i="2"/>
  <c r="I60" i="2"/>
  <c r="H50" i="7" l="1"/>
  <c r="H52" i="7"/>
  <c r="H55" i="7"/>
  <c r="H51" i="7"/>
  <c r="N37" i="7"/>
  <c r="J48" i="7" s="1"/>
  <c r="M29" i="7"/>
  <c r="P22" i="7"/>
  <c r="P29" i="7" s="1"/>
  <c r="P35" i="7" s="1"/>
  <c r="P37" i="7" s="1"/>
  <c r="O16" i="7"/>
  <c r="K29" i="7"/>
  <c r="L46" i="7"/>
  <c r="H46" i="7"/>
  <c r="L22" i="7"/>
  <c r="I24" i="7" s="1"/>
  <c r="I27" i="7" s="1"/>
  <c r="I47" i="7" s="1"/>
  <c r="I75" i="2"/>
  <c r="F94" i="2"/>
  <c r="I48" i="2"/>
  <c r="I80" i="2"/>
  <c r="F39" i="2"/>
  <c r="I68" i="2"/>
  <c r="I97" i="2"/>
  <c r="I52" i="2"/>
  <c r="C94" i="2"/>
  <c r="J21" i="2"/>
  <c r="M37" i="7" l="1"/>
  <c r="I48" i="7" s="1"/>
  <c r="I52" i="7"/>
  <c r="I51" i="7"/>
  <c r="I55" i="7"/>
  <c r="I50" i="7"/>
  <c r="I46" i="7"/>
  <c r="J46" i="7"/>
  <c r="J24" i="7"/>
  <c r="J27" i="7" s="1"/>
  <c r="J47" i="7" s="1"/>
  <c r="L29" i="7"/>
  <c r="K24" i="7"/>
  <c r="K27" i="7" s="1"/>
  <c r="K47" i="7" s="1"/>
  <c r="K46" i="7"/>
  <c r="K13" i="7"/>
  <c r="K17" i="7"/>
  <c r="O22" i="7"/>
  <c r="O17" i="7"/>
  <c r="N41" i="21"/>
  <c r="M41" i="21"/>
  <c r="L41" i="21"/>
  <c r="R21" i="21"/>
  <c r="Q21" i="21"/>
  <c r="P21" i="21"/>
  <c r="O21" i="21"/>
  <c r="N21" i="21"/>
  <c r="M21" i="21"/>
  <c r="L21" i="21"/>
  <c r="I55" i="52"/>
  <c r="H55" i="52"/>
  <c r="G55" i="52"/>
  <c r="F55" i="52"/>
  <c r="E55" i="52"/>
  <c r="D55" i="52"/>
  <c r="C55" i="52"/>
  <c r="B55" i="52"/>
  <c r="F46" i="52"/>
  <c r="E46" i="52"/>
  <c r="D46" i="52"/>
  <c r="C46" i="52"/>
  <c r="B46" i="52"/>
  <c r="I37" i="52"/>
  <c r="H37" i="52"/>
  <c r="G37" i="52"/>
  <c r="F37" i="52"/>
  <c r="E37" i="52"/>
  <c r="D37" i="52"/>
  <c r="C37" i="52"/>
  <c r="B37" i="52"/>
  <c r="I22" i="52"/>
  <c r="I29" i="52" s="1"/>
  <c r="H22" i="52"/>
  <c r="H29" i="52" s="1"/>
  <c r="G22" i="52"/>
  <c r="G29" i="52" s="1"/>
  <c r="F22" i="52"/>
  <c r="F24" i="52" s="1"/>
  <c r="F27" i="52" s="1"/>
  <c r="F47" i="52" s="1"/>
  <c r="E22" i="52"/>
  <c r="D22" i="52"/>
  <c r="D29" i="52" s="1"/>
  <c r="C22" i="52"/>
  <c r="C29" i="52" s="1"/>
  <c r="B22" i="52"/>
  <c r="B24" i="52" s="1"/>
  <c r="B27" i="52" s="1"/>
  <c r="B47" i="52" s="1"/>
  <c r="I17" i="52"/>
  <c r="H17" i="52"/>
  <c r="G17" i="52"/>
  <c r="F17" i="52"/>
  <c r="E17" i="52"/>
  <c r="D17" i="52"/>
  <c r="C17" i="52"/>
  <c r="B17" i="52"/>
  <c r="E13" i="52"/>
  <c r="D13" i="52"/>
  <c r="C13" i="52"/>
  <c r="B13" i="52"/>
  <c r="C10" i="52"/>
  <c r="D10" i="52" s="1"/>
  <c r="E10" i="52" s="1"/>
  <c r="F10" i="52" s="1"/>
  <c r="G10" i="52" s="1"/>
  <c r="H10" i="52" s="1"/>
  <c r="I10" i="52" s="1"/>
  <c r="I105" i="2"/>
  <c r="I98" i="2"/>
  <c r="D48" i="52" l="1"/>
  <c r="D53" i="52" s="1"/>
  <c r="C24" i="52"/>
  <c r="C27" i="52" s="1"/>
  <c r="C47" i="52" s="1"/>
  <c r="I53" i="7"/>
  <c r="B48" i="52"/>
  <c r="B53" i="52" s="1"/>
  <c r="E24" i="52"/>
  <c r="E27" i="52" s="1"/>
  <c r="E47" i="52" s="1"/>
  <c r="E51" i="52" s="1"/>
  <c r="C48" i="52"/>
  <c r="C53" i="52" s="1"/>
  <c r="F48" i="52"/>
  <c r="F53" i="52" s="1"/>
  <c r="K50" i="7"/>
  <c r="K51" i="7"/>
  <c r="K52" i="7"/>
  <c r="K55" i="7"/>
  <c r="O29" i="7"/>
  <c r="O35" i="7" s="1"/>
  <c r="O37" i="7" s="1"/>
  <c r="O24" i="7"/>
  <c r="O27" i="7" s="1"/>
  <c r="O47" i="7" s="1"/>
  <c r="N24" i="7"/>
  <c r="N27" i="7" s="1"/>
  <c r="N47" i="7" s="1"/>
  <c r="M24" i="7"/>
  <c r="M27" i="7" s="1"/>
  <c r="M47" i="7" s="1"/>
  <c r="L24" i="7"/>
  <c r="L27" i="7" s="1"/>
  <c r="L47" i="7" s="1"/>
  <c r="L50" i="7" s="1"/>
  <c r="E50" i="52"/>
  <c r="B52" i="52"/>
  <c r="B51" i="52"/>
  <c r="B50" i="52"/>
  <c r="F52" i="52"/>
  <c r="F51" i="52"/>
  <c r="F50" i="52"/>
  <c r="C52" i="52"/>
  <c r="C51" i="52"/>
  <c r="C50" i="52"/>
  <c r="E29" i="52"/>
  <c r="D24" i="52"/>
  <c r="D27" i="52" s="1"/>
  <c r="D47" i="52" s="1"/>
  <c r="B29" i="52"/>
  <c r="F29" i="52"/>
  <c r="E48" i="52"/>
  <c r="E53" i="52" s="1"/>
  <c r="Y55" i="11"/>
  <c r="X55" i="11"/>
  <c r="W55" i="11"/>
  <c r="V46" i="11"/>
  <c r="U46" i="11"/>
  <c r="T41" i="11"/>
  <c r="V40" i="11"/>
  <c r="V41" i="11" s="1"/>
  <c r="U40" i="11"/>
  <c r="U41" i="11" s="1"/>
  <c r="S40" i="11"/>
  <c r="S41" i="11" s="1"/>
  <c r="R40" i="11"/>
  <c r="R41" i="11" s="1"/>
  <c r="Q40" i="11"/>
  <c r="Q41" i="11" s="1"/>
  <c r="P40" i="11"/>
  <c r="P41" i="11" s="1"/>
  <c r="O40" i="11"/>
  <c r="O41" i="11" s="1"/>
  <c r="N40" i="11"/>
  <c r="N41" i="11" s="1"/>
  <c r="M40" i="11"/>
  <c r="M41" i="11" s="1"/>
  <c r="Y37" i="11"/>
  <c r="X37" i="11"/>
  <c r="W37" i="11"/>
  <c r="V37" i="11"/>
  <c r="U37" i="11"/>
  <c r="T37" i="11"/>
  <c r="S37" i="11"/>
  <c r="O37" i="11"/>
  <c r="R36" i="11"/>
  <c r="Q36" i="11" s="1"/>
  <c r="P36" i="11" s="1"/>
  <c r="N36" i="11"/>
  <c r="M36" i="11" s="1"/>
  <c r="L36" i="11" s="1"/>
  <c r="R35" i="11"/>
  <c r="Q35" i="11" s="1"/>
  <c r="M35" i="11"/>
  <c r="L35" i="11" s="1"/>
  <c r="S32" i="11"/>
  <c r="R32" i="11" s="1"/>
  <c r="O32" i="11"/>
  <c r="X31" i="11"/>
  <c r="T31" i="11"/>
  <c r="S30" i="11"/>
  <c r="R30" i="11" s="1"/>
  <c r="Q30" i="11" s="1"/>
  <c r="P30" i="11" s="1"/>
  <c r="O30" i="11"/>
  <c r="N30" i="11" s="1"/>
  <c r="M30" i="11" s="1"/>
  <c r="L30" i="11" s="1"/>
  <c r="Y29" i="11"/>
  <c r="X29" i="11"/>
  <c r="W29" i="11"/>
  <c r="V29" i="11"/>
  <c r="U29" i="11"/>
  <c r="P29" i="11"/>
  <c r="O29" i="11"/>
  <c r="N29" i="11"/>
  <c r="M29" i="11"/>
  <c r="V24" i="11"/>
  <c r="V27" i="11" s="1"/>
  <c r="V47" i="11" s="1"/>
  <c r="U24" i="11"/>
  <c r="U27" i="11" s="1"/>
  <c r="U47" i="11" s="1"/>
  <c r="M24" i="11"/>
  <c r="T22" i="11"/>
  <c r="S22" i="11"/>
  <c r="S29" i="11" s="1"/>
  <c r="R22" i="11"/>
  <c r="R29" i="11" s="1"/>
  <c r="Q22" i="11"/>
  <c r="Y21" i="11"/>
  <c r="Y33" i="11" s="1"/>
  <c r="X21" i="11"/>
  <c r="X33" i="11" s="1"/>
  <c r="W21" i="11"/>
  <c r="W33" i="11" s="1"/>
  <c r="V21" i="11"/>
  <c r="V33" i="11" s="1"/>
  <c r="U21" i="11"/>
  <c r="U33" i="11" s="1"/>
  <c r="U34" i="11" s="1"/>
  <c r="P20" i="11"/>
  <c r="P33" i="11" s="1"/>
  <c r="O20" i="11"/>
  <c r="O33" i="11" s="1"/>
  <c r="N20" i="11"/>
  <c r="N33" i="11" s="1"/>
  <c r="M20" i="11"/>
  <c r="M33" i="11" s="1"/>
  <c r="Y17" i="11"/>
  <c r="X17" i="11"/>
  <c r="W17" i="11"/>
  <c r="V17" i="11"/>
  <c r="U17" i="11"/>
  <c r="O17" i="11"/>
  <c r="N17" i="11"/>
  <c r="M17" i="11"/>
  <c r="T16" i="11"/>
  <c r="S16" i="11"/>
  <c r="R16" i="11"/>
  <c r="Q16" i="11"/>
  <c r="U13" i="11"/>
  <c r="T12" i="11"/>
  <c r="T13" i="11" s="1"/>
  <c r="S12" i="11"/>
  <c r="R12" i="11"/>
  <c r="R13" i="11" s="1"/>
  <c r="Q12" i="11"/>
  <c r="O5" i="2"/>
  <c r="I74" i="2"/>
  <c r="I47" i="2"/>
  <c r="P12" i="11" l="1"/>
  <c r="L13" i="11" s="1"/>
  <c r="T17" i="11"/>
  <c r="S46" i="11"/>
  <c r="E52" i="52"/>
  <c r="Q37" i="11"/>
  <c r="P35" i="11"/>
  <c r="N32" i="11"/>
  <c r="N34" i="11" s="1"/>
  <c r="M46" i="11"/>
  <c r="P17" i="11"/>
  <c r="V50" i="11"/>
  <c r="S17" i="11"/>
  <c r="L37" i="11"/>
  <c r="I48" i="11" s="1"/>
  <c r="I53" i="11" s="1"/>
  <c r="K53" i="7"/>
  <c r="O46" i="11"/>
  <c r="W34" i="11"/>
  <c r="U50" i="11"/>
  <c r="O24" i="11"/>
  <c r="O25" i="11" s="1"/>
  <c r="O27" i="11" s="1"/>
  <c r="O47" i="11" s="1"/>
  <c r="S48" i="11"/>
  <c r="S53" i="11" s="1"/>
  <c r="T20" i="11"/>
  <c r="T33" i="11" s="1"/>
  <c r="N24" i="11"/>
  <c r="N25" i="11" s="1"/>
  <c r="N27" i="11" s="1"/>
  <c r="N47" i="11" s="1"/>
  <c r="N50" i="11" s="1"/>
  <c r="T46" i="11"/>
  <c r="P24" i="11"/>
  <c r="P25" i="11" s="1"/>
  <c r="Q17" i="11"/>
  <c r="V34" i="11"/>
  <c r="T48" i="11"/>
  <c r="T53" i="11" s="1"/>
  <c r="R17" i="11"/>
  <c r="Q20" i="11"/>
  <c r="Q33" i="11" s="1"/>
  <c r="U48" i="11"/>
  <c r="U53" i="11" s="1"/>
  <c r="Y34" i="11"/>
  <c r="S20" i="11"/>
  <c r="S33" i="11" s="1"/>
  <c r="S34" i="11" s="1"/>
  <c r="X34" i="11"/>
  <c r="V48" i="11"/>
  <c r="V53" i="11" s="1"/>
  <c r="L51" i="7"/>
  <c r="L52" i="7"/>
  <c r="L55" i="7"/>
  <c r="M52" i="7"/>
  <c r="M51" i="7"/>
  <c r="M50" i="7"/>
  <c r="M55" i="7"/>
  <c r="N52" i="7"/>
  <c r="N50" i="7"/>
  <c r="N55" i="7"/>
  <c r="N51" i="7"/>
  <c r="O50" i="7"/>
  <c r="O51" i="7"/>
  <c r="O55" i="7"/>
  <c r="O52" i="7"/>
  <c r="O48" i="7"/>
  <c r="O53" i="7" s="1"/>
  <c r="D51" i="52"/>
  <c r="D50" i="52"/>
  <c r="D52" i="52"/>
  <c r="M37" i="11"/>
  <c r="V51" i="11"/>
  <c r="U55" i="11"/>
  <c r="U52" i="11"/>
  <c r="U51" i="11"/>
  <c r="S13" i="11"/>
  <c r="T24" i="11"/>
  <c r="T27" i="11" s="1"/>
  <c r="T47" i="11" s="1"/>
  <c r="T52" i="11" s="1"/>
  <c r="P46" i="11"/>
  <c r="V52" i="11"/>
  <c r="V55" i="11"/>
  <c r="P13" i="11"/>
  <c r="R20" i="11"/>
  <c r="R33" i="11" s="1"/>
  <c r="R34" i="11" s="1"/>
  <c r="Q24" i="11"/>
  <c r="Q27" i="11" s="1"/>
  <c r="Q47" i="11" s="1"/>
  <c r="Q50" i="11" s="1"/>
  <c r="Q29" i="11"/>
  <c r="Q46" i="11"/>
  <c r="M13" i="11"/>
  <c r="Q13" i="11"/>
  <c r="R24" i="11"/>
  <c r="R27" i="11" s="1"/>
  <c r="R47" i="11" s="1"/>
  <c r="R50" i="11" s="1"/>
  <c r="Q32" i="11"/>
  <c r="P32" i="11" s="1"/>
  <c r="N37" i="11"/>
  <c r="R37" i="11"/>
  <c r="R48" i="11" s="1"/>
  <c r="R53" i="11" s="1"/>
  <c r="N46" i="11"/>
  <c r="R46" i="11"/>
  <c r="O13" i="11"/>
  <c r="T29" i="11"/>
  <c r="O34" i="11"/>
  <c r="N13" i="11"/>
  <c r="S24" i="11"/>
  <c r="S27" i="11" s="1"/>
  <c r="S47" i="11" s="1"/>
  <c r="S50" i="11" s="1"/>
  <c r="M25" i="11"/>
  <c r="M27" i="11" s="1"/>
  <c r="M47" i="11" s="1"/>
  <c r="Z55" i="6"/>
  <c r="Y55" i="6"/>
  <c r="X55" i="6"/>
  <c r="T47" i="6"/>
  <c r="T50" i="6" s="1"/>
  <c r="S47" i="6"/>
  <c r="R47" i="6"/>
  <c r="R50" i="6" s="1"/>
  <c r="W46" i="6"/>
  <c r="V46" i="6"/>
  <c r="U46" i="6"/>
  <c r="W41" i="6"/>
  <c r="V41" i="6"/>
  <c r="U41" i="6"/>
  <c r="T41" i="6"/>
  <c r="S41" i="6"/>
  <c r="R41" i="6"/>
  <c r="P41" i="6"/>
  <c r="Z37" i="6"/>
  <c r="Y37" i="6"/>
  <c r="X37" i="6"/>
  <c r="W37" i="6"/>
  <c r="V37" i="6"/>
  <c r="U37" i="6"/>
  <c r="S37" i="6"/>
  <c r="T36" i="6"/>
  <c r="R36" i="6"/>
  <c r="Q36" i="6" s="1"/>
  <c r="P36" i="6" s="1"/>
  <c r="T35" i="6"/>
  <c r="R35" i="6"/>
  <c r="Q35" i="6" s="1"/>
  <c r="T32" i="6"/>
  <c r="R32" i="6"/>
  <c r="Q32" i="6" s="1"/>
  <c r="P32" i="6" s="1"/>
  <c r="T31" i="6"/>
  <c r="T30" i="6"/>
  <c r="Z29" i="6"/>
  <c r="Y29" i="6"/>
  <c r="V29" i="6"/>
  <c r="U29" i="6"/>
  <c r="P26" i="6"/>
  <c r="P27" i="6" s="1"/>
  <c r="P47" i="6" s="1"/>
  <c r="N26" i="6"/>
  <c r="N27" i="6" s="1"/>
  <c r="N47" i="6" s="1"/>
  <c r="M26" i="6"/>
  <c r="M27" i="6" s="1"/>
  <c r="M47" i="6" s="1"/>
  <c r="X22" i="6"/>
  <c r="X29" i="6" s="1"/>
  <c r="W22" i="6"/>
  <c r="S22" i="6"/>
  <c r="S29" i="6" s="1"/>
  <c r="N22" i="6"/>
  <c r="N29" i="6" s="1"/>
  <c r="M22" i="6"/>
  <c r="Z21" i="6"/>
  <c r="Y21" i="6"/>
  <c r="V21" i="6"/>
  <c r="U21" i="6"/>
  <c r="Z17" i="6"/>
  <c r="Y17" i="6"/>
  <c r="W17" i="6"/>
  <c r="V17" i="6"/>
  <c r="U17" i="6"/>
  <c r="S17" i="6"/>
  <c r="N17" i="6"/>
  <c r="M17" i="6"/>
  <c r="X16" i="6"/>
  <c r="X17" i="6" s="1"/>
  <c r="T16" i="6"/>
  <c r="R16" i="6" s="1"/>
  <c r="V13" i="6"/>
  <c r="U13" i="6"/>
  <c r="S13" i="6"/>
  <c r="R13" i="6"/>
  <c r="Q13" i="6"/>
  <c r="N13" i="6"/>
  <c r="M13" i="6"/>
  <c r="T12" i="6"/>
  <c r="R46" i="6" s="1"/>
  <c r="P12" i="6"/>
  <c r="N46" i="6" s="1"/>
  <c r="T10" i="6"/>
  <c r="U10" i="6" s="1"/>
  <c r="V10" i="6" s="1"/>
  <c r="W10" i="6" s="1"/>
  <c r="X10" i="6" s="1"/>
  <c r="Y10" i="6" s="1"/>
  <c r="Z10" i="6" s="1"/>
  <c r="AG10" i="6" s="1"/>
  <c r="R10" i="6"/>
  <c r="L55" i="4"/>
  <c r="K55" i="4"/>
  <c r="J55" i="4"/>
  <c r="I55" i="4"/>
  <c r="H55" i="4"/>
  <c r="G55" i="4"/>
  <c r="F55" i="4"/>
  <c r="I46" i="4"/>
  <c r="H46" i="4"/>
  <c r="G46" i="4"/>
  <c r="F46" i="4"/>
  <c r="E46" i="4"/>
  <c r="D46" i="4"/>
  <c r="C46" i="4"/>
  <c r="B46" i="4"/>
  <c r="E41" i="4"/>
  <c r="D41" i="4"/>
  <c r="C41" i="4"/>
  <c r="B41" i="4"/>
  <c r="L37" i="4"/>
  <c r="K37" i="4"/>
  <c r="J37" i="4"/>
  <c r="I37" i="4"/>
  <c r="H37" i="4"/>
  <c r="G37" i="4"/>
  <c r="F37" i="4"/>
  <c r="E37" i="4"/>
  <c r="D37" i="4"/>
  <c r="C37" i="4"/>
  <c r="B37" i="4"/>
  <c r="D32" i="4"/>
  <c r="B32" i="4"/>
  <c r="L22" i="4"/>
  <c r="L29" i="4" s="1"/>
  <c r="K22" i="4"/>
  <c r="K29" i="4" s="1"/>
  <c r="J22" i="4"/>
  <c r="J29" i="4" s="1"/>
  <c r="I22" i="4"/>
  <c r="H22" i="4"/>
  <c r="H29" i="4" s="1"/>
  <c r="G22" i="4"/>
  <c r="G29" i="4" s="1"/>
  <c r="F22" i="4"/>
  <c r="E22" i="4"/>
  <c r="D22" i="4"/>
  <c r="D29" i="4" s="1"/>
  <c r="C22" i="4"/>
  <c r="C29" i="4" s="1"/>
  <c r="B22" i="4"/>
  <c r="L17" i="4"/>
  <c r="K17" i="4"/>
  <c r="J17" i="4"/>
  <c r="I17" i="4"/>
  <c r="H17" i="4"/>
  <c r="G17" i="4"/>
  <c r="F17" i="4"/>
  <c r="E17" i="4"/>
  <c r="D17" i="4"/>
  <c r="C17" i="4"/>
  <c r="B17" i="4"/>
  <c r="H13" i="4"/>
  <c r="G13" i="4"/>
  <c r="F13" i="4"/>
  <c r="E13" i="4"/>
  <c r="D13" i="4"/>
  <c r="C13" i="4"/>
  <c r="B13" i="4"/>
  <c r="F10" i="4"/>
  <c r="G10" i="4" s="1"/>
  <c r="H10" i="4" s="1"/>
  <c r="I10" i="4" s="1"/>
  <c r="J10" i="4" s="1"/>
  <c r="K10" i="4" s="1"/>
  <c r="L10" i="4" s="1"/>
  <c r="J27" i="2"/>
  <c r="E21" i="2"/>
  <c r="I109" i="2"/>
  <c r="C27" i="2"/>
  <c r="J5" i="2"/>
  <c r="M29" i="6" l="1"/>
  <c r="K24" i="6"/>
  <c r="K26" i="6" s="1"/>
  <c r="K27" i="6" s="1"/>
  <c r="K47" i="6" s="1"/>
  <c r="J24" i="6"/>
  <c r="J26" i="6" s="1"/>
  <c r="J27" i="6" s="1"/>
  <c r="J47" i="6" s="1"/>
  <c r="V48" i="6"/>
  <c r="V53" i="6" s="1"/>
  <c r="T37" i="6"/>
  <c r="M32" i="11"/>
  <c r="P46" i="6"/>
  <c r="L13" i="6"/>
  <c r="B24" i="4"/>
  <c r="B25" i="4" s="1"/>
  <c r="B27" i="4" s="1"/>
  <c r="B47" i="4" s="1"/>
  <c r="E48" i="4"/>
  <c r="E53" i="4" s="1"/>
  <c r="W24" i="6"/>
  <c r="W25" i="6" s="1"/>
  <c r="W27" i="6" s="1"/>
  <c r="W47" i="6" s="1"/>
  <c r="R55" i="6"/>
  <c r="N52" i="11"/>
  <c r="L48" i="11"/>
  <c r="L53" i="11" s="1"/>
  <c r="J48" i="11"/>
  <c r="J53" i="11" s="1"/>
  <c r="K48" i="11"/>
  <c r="K53" i="11" s="1"/>
  <c r="W29" i="6"/>
  <c r="T34" i="11"/>
  <c r="S55" i="11"/>
  <c r="S55" i="6"/>
  <c r="N51" i="11"/>
  <c r="N55" i="11"/>
  <c r="T48" i="6"/>
  <c r="T53" i="6" s="1"/>
  <c r="F24" i="4"/>
  <c r="F27" i="4" s="1"/>
  <c r="F47" i="4" s="1"/>
  <c r="I48" i="4"/>
  <c r="Q37" i="6"/>
  <c r="P35" i="6"/>
  <c r="P37" i="6" s="1"/>
  <c r="G48" i="4"/>
  <c r="S50" i="6"/>
  <c r="F48" i="4"/>
  <c r="S48" i="6"/>
  <c r="S53" i="6" s="1"/>
  <c r="E24" i="4"/>
  <c r="E27" i="4" s="1"/>
  <c r="E47" i="4" s="1"/>
  <c r="E50" i="4" s="1"/>
  <c r="H48" i="4"/>
  <c r="O13" i="6"/>
  <c r="R37" i="6"/>
  <c r="U48" i="6"/>
  <c r="U53" i="6" s="1"/>
  <c r="O46" i="6"/>
  <c r="B48" i="4"/>
  <c r="B53" i="4" s="1"/>
  <c r="W48" i="6"/>
  <c r="W53" i="6" s="1"/>
  <c r="C48" i="4"/>
  <c r="C53" i="4" s="1"/>
  <c r="S52" i="6"/>
  <c r="P27" i="11"/>
  <c r="P47" i="11" s="1"/>
  <c r="P50" i="11" s="1"/>
  <c r="I24" i="4"/>
  <c r="I27" i="4" s="1"/>
  <c r="I47" i="4" s="1"/>
  <c r="D48" i="4"/>
  <c r="D53" i="4" s="1"/>
  <c r="T52" i="6"/>
  <c r="Q52" i="11"/>
  <c r="M50" i="11"/>
  <c r="M52" i="11"/>
  <c r="M51" i="11"/>
  <c r="M55" i="11"/>
  <c r="O50" i="11"/>
  <c r="O51" i="11"/>
  <c r="O55" i="11"/>
  <c r="O52" i="11"/>
  <c r="T50" i="11"/>
  <c r="T51" i="11"/>
  <c r="Q34" i="11"/>
  <c r="R52" i="11"/>
  <c r="Q55" i="11"/>
  <c r="S51" i="11"/>
  <c r="R55" i="11"/>
  <c r="T55" i="11"/>
  <c r="P37" i="11"/>
  <c r="P34" i="11"/>
  <c r="Q51" i="11"/>
  <c r="S52" i="11"/>
  <c r="R51" i="11"/>
  <c r="Q48" i="11"/>
  <c r="Q53" i="11" s="1"/>
  <c r="M55" i="6"/>
  <c r="M50" i="6"/>
  <c r="P50" i="6"/>
  <c r="P52" i="6"/>
  <c r="P51" i="6"/>
  <c r="R17" i="6"/>
  <c r="R22" i="6"/>
  <c r="N52" i="6"/>
  <c r="N51" i="6"/>
  <c r="N55" i="6"/>
  <c r="M52" i="6"/>
  <c r="T13" i="6"/>
  <c r="U24" i="6"/>
  <c r="U27" i="6" s="1"/>
  <c r="U47" i="6" s="1"/>
  <c r="V24" i="6"/>
  <c r="T46" i="6"/>
  <c r="N50" i="6"/>
  <c r="M51" i="6"/>
  <c r="S51" i="6"/>
  <c r="R52" i="6"/>
  <c r="T55" i="6"/>
  <c r="P13" i="6"/>
  <c r="S46" i="6"/>
  <c r="R51" i="6"/>
  <c r="T17" i="6"/>
  <c r="T22" i="6"/>
  <c r="S24" i="6" s="1"/>
  <c r="S25" i="6" s="1"/>
  <c r="M35" i="6"/>
  <c r="M46" i="6"/>
  <c r="Q46" i="6"/>
  <c r="R48" i="6"/>
  <c r="T51" i="6"/>
  <c r="P55" i="6"/>
  <c r="C24" i="4"/>
  <c r="G24" i="4"/>
  <c r="G27" i="4" s="1"/>
  <c r="G47" i="4" s="1"/>
  <c r="E29" i="4"/>
  <c r="I29" i="4"/>
  <c r="E52" i="4"/>
  <c r="D24" i="4"/>
  <c r="D27" i="4" s="1"/>
  <c r="D47" i="4" s="1"/>
  <c r="D50" i="4" s="1"/>
  <c r="H24" i="4"/>
  <c r="H27" i="4" s="1"/>
  <c r="H47" i="4" s="1"/>
  <c r="B29" i="4"/>
  <c r="F29" i="4"/>
  <c r="Y55" i="41"/>
  <c r="X55" i="41"/>
  <c r="W55" i="41"/>
  <c r="V55" i="41"/>
  <c r="U55" i="41"/>
  <c r="T55" i="41"/>
  <c r="S55" i="41"/>
  <c r="V46" i="41"/>
  <c r="U46" i="41"/>
  <c r="T46" i="41"/>
  <c r="S46" i="41"/>
  <c r="R46" i="41"/>
  <c r="Q46" i="41"/>
  <c r="R41" i="41"/>
  <c r="R53" i="41" s="1"/>
  <c r="Q41" i="41"/>
  <c r="P41" i="41"/>
  <c r="O41" i="41"/>
  <c r="N41" i="41"/>
  <c r="M40" i="41"/>
  <c r="M41" i="41" s="1"/>
  <c r="S37" i="41"/>
  <c r="R37" i="41"/>
  <c r="Q37" i="41"/>
  <c r="P37" i="41"/>
  <c r="O37" i="41"/>
  <c r="N37" i="41"/>
  <c r="M37" i="41"/>
  <c r="S32" i="41"/>
  <c r="R32" i="41"/>
  <c r="Q32" i="41"/>
  <c r="O32" i="41"/>
  <c r="N32" i="41"/>
  <c r="Y22" i="41"/>
  <c r="X22" i="41"/>
  <c r="W22" i="41"/>
  <c r="V22" i="41"/>
  <c r="U22" i="41"/>
  <c r="T22" i="41"/>
  <c r="S22" i="41"/>
  <c r="R22" i="41"/>
  <c r="Q22" i="41"/>
  <c r="Q29" i="41" s="1"/>
  <c r="P22" i="41"/>
  <c r="P29" i="41" s="1"/>
  <c r="O22" i="41"/>
  <c r="O29" i="41" s="1"/>
  <c r="O34" i="41" s="1"/>
  <c r="N22" i="41"/>
  <c r="N29" i="41" s="1"/>
  <c r="N34" i="41" s="1"/>
  <c r="M22" i="41"/>
  <c r="Y17" i="41"/>
  <c r="X17" i="41"/>
  <c r="W17" i="41"/>
  <c r="V17" i="41"/>
  <c r="U17" i="41"/>
  <c r="T17" i="41"/>
  <c r="S17" i="41"/>
  <c r="R17" i="41"/>
  <c r="Q17" i="41"/>
  <c r="O17" i="41"/>
  <c r="N17" i="41"/>
  <c r="M17" i="41"/>
  <c r="U13" i="41"/>
  <c r="T13" i="41"/>
  <c r="S13" i="41"/>
  <c r="R13" i="41"/>
  <c r="Q13" i="41"/>
  <c r="O13" i="41"/>
  <c r="N13" i="41"/>
  <c r="M13" i="41"/>
  <c r="P12" i="41"/>
  <c r="S55" i="37"/>
  <c r="R55" i="37"/>
  <c r="P41" i="37"/>
  <c r="O41" i="37"/>
  <c r="N41" i="37"/>
  <c r="M41" i="37"/>
  <c r="S37" i="37"/>
  <c r="R37" i="37"/>
  <c r="Q37" i="37"/>
  <c r="O37" i="37"/>
  <c r="N37" i="37"/>
  <c r="M37" i="37"/>
  <c r="P27" i="37"/>
  <c r="P47" i="37" s="1"/>
  <c r="S29" i="37"/>
  <c r="R29" i="37"/>
  <c r="Q29" i="37"/>
  <c r="O29" i="37"/>
  <c r="N29" i="37"/>
  <c r="M29" i="37"/>
  <c r="O13" i="37"/>
  <c r="N13" i="37"/>
  <c r="M13" i="37"/>
  <c r="R10" i="37"/>
  <c r="S10" i="37" s="1"/>
  <c r="M55" i="18"/>
  <c r="L55" i="18"/>
  <c r="K55" i="18"/>
  <c r="J55" i="18"/>
  <c r="I55" i="18"/>
  <c r="H55" i="18"/>
  <c r="G55" i="18"/>
  <c r="F55" i="18"/>
  <c r="E55" i="18"/>
  <c r="D55" i="18"/>
  <c r="C55" i="18"/>
  <c r="F40" i="18"/>
  <c r="F41" i="18" s="1"/>
  <c r="E40" i="18"/>
  <c r="E41" i="18" s="1"/>
  <c r="D40" i="18"/>
  <c r="D41" i="18" s="1"/>
  <c r="C40" i="18"/>
  <c r="C41" i="18" s="1"/>
  <c r="I37" i="18"/>
  <c r="H37" i="18"/>
  <c r="G37" i="18"/>
  <c r="F48" i="18" s="1"/>
  <c r="E37" i="18"/>
  <c r="D37" i="18"/>
  <c r="C37" i="18"/>
  <c r="I32" i="18"/>
  <c r="H32" i="18"/>
  <c r="G32" i="18"/>
  <c r="E32" i="18"/>
  <c r="D32" i="18"/>
  <c r="C32" i="18"/>
  <c r="I22" i="18"/>
  <c r="H22" i="18"/>
  <c r="G22" i="18"/>
  <c r="E22" i="18"/>
  <c r="D22" i="18"/>
  <c r="D29" i="18" s="1"/>
  <c r="C22" i="18"/>
  <c r="C29" i="18" s="1"/>
  <c r="I17" i="18"/>
  <c r="H17" i="18"/>
  <c r="G17" i="18"/>
  <c r="E17" i="18"/>
  <c r="D17" i="18"/>
  <c r="C17" i="18"/>
  <c r="E13" i="18"/>
  <c r="D13" i="18"/>
  <c r="C13" i="18"/>
  <c r="G10" i="18"/>
  <c r="H10" i="18" s="1"/>
  <c r="I10" i="18" s="1"/>
  <c r="J10" i="18" s="1"/>
  <c r="K10" i="18" s="1"/>
  <c r="L10" i="18" s="1"/>
  <c r="M10" i="18" s="1"/>
  <c r="T55" i="24"/>
  <c r="S55" i="24"/>
  <c r="R55" i="24"/>
  <c r="Q55" i="24"/>
  <c r="P55" i="24"/>
  <c r="O55" i="24"/>
  <c r="N55" i="24"/>
  <c r="M48" i="24"/>
  <c r="M44" i="24"/>
  <c r="J44" i="24"/>
  <c r="M42" i="24"/>
  <c r="L42" i="24" s="1"/>
  <c r="K42" i="24" s="1"/>
  <c r="M40" i="24"/>
  <c r="M41" i="24" s="1"/>
  <c r="J40" i="24"/>
  <c r="J41" i="24" s="1"/>
  <c r="L39" i="24"/>
  <c r="K39" i="24" s="1"/>
  <c r="L29" i="24"/>
  <c r="K29" i="24"/>
  <c r="K37" i="24" s="1"/>
  <c r="M27" i="24"/>
  <c r="M47" i="24" s="1"/>
  <c r="J27" i="24"/>
  <c r="J47" i="24" s="1"/>
  <c r="M26" i="24"/>
  <c r="P17" i="24"/>
  <c r="O17" i="24"/>
  <c r="N17" i="24"/>
  <c r="L17" i="24"/>
  <c r="K17" i="24"/>
  <c r="J17" i="24"/>
  <c r="L13" i="24"/>
  <c r="K13" i="24"/>
  <c r="J13" i="24"/>
  <c r="N10" i="24"/>
  <c r="O10" i="24" s="1"/>
  <c r="P10" i="24" s="1"/>
  <c r="Q10" i="24" s="1"/>
  <c r="R10" i="24" s="1"/>
  <c r="S10" i="24" s="1"/>
  <c r="T10" i="24" s="1"/>
  <c r="I39" i="2"/>
  <c r="I107" i="2"/>
  <c r="J94" i="2"/>
  <c r="I102" i="2"/>
  <c r="F21" i="2"/>
  <c r="E27" i="2"/>
  <c r="I36" i="2"/>
  <c r="I28" i="2"/>
  <c r="I27" i="2"/>
  <c r="J39" i="2"/>
  <c r="C5" i="2"/>
  <c r="E39" i="2"/>
  <c r="I104" i="2"/>
  <c r="I115" i="2"/>
  <c r="F27" i="2"/>
  <c r="E94" i="2"/>
  <c r="J52" i="6" l="1"/>
  <c r="J50" i="6"/>
  <c r="J55" i="6"/>
  <c r="J51" i="6"/>
  <c r="K55" i="6"/>
  <c r="K51" i="6"/>
  <c r="K52" i="6"/>
  <c r="K50" i="6"/>
  <c r="P32" i="41"/>
  <c r="N48" i="41"/>
  <c r="L40" i="24"/>
  <c r="K40" i="24" s="1"/>
  <c r="F32" i="18"/>
  <c r="D48" i="18"/>
  <c r="N48" i="37"/>
  <c r="N53" i="37" s="1"/>
  <c r="B32" i="18"/>
  <c r="E48" i="18"/>
  <c r="O48" i="37"/>
  <c r="M48" i="37"/>
  <c r="M53" i="37" s="1"/>
  <c r="J48" i="37"/>
  <c r="J53" i="37" s="1"/>
  <c r="L48" i="37"/>
  <c r="L53" i="37" s="1"/>
  <c r="O53" i="37"/>
  <c r="P48" i="6"/>
  <c r="O48" i="6"/>
  <c r="C48" i="18"/>
  <c r="B48" i="18"/>
  <c r="P48" i="37"/>
  <c r="P53" i="37" s="1"/>
  <c r="L48" i="41"/>
  <c r="L53" i="41" s="1"/>
  <c r="J48" i="41"/>
  <c r="J53" i="41" s="1"/>
  <c r="K48" i="41"/>
  <c r="K53" i="41" s="1"/>
  <c r="Q48" i="6"/>
  <c r="N46" i="41"/>
  <c r="L13" i="41"/>
  <c r="P51" i="11"/>
  <c r="P55" i="37"/>
  <c r="P51" i="37"/>
  <c r="J50" i="24"/>
  <c r="P52" i="37"/>
  <c r="P50" i="37"/>
  <c r="E55" i="4"/>
  <c r="L32" i="11"/>
  <c r="L34" i="11" s="1"/>
  <c r="M34" i="11"/>
  <c r="K48" i="37"/>
  <c r="K53" i="37" s="1"/>
  <c r="M29" i="41"/>
  <c r="M34" i="41" s="1"/>
  <c r="J24" i="41"/>
  <c r="J27" i="41" s="1"/>
  <c r="J47" i="41" s="1"/>
  <c r="K24" i="41"/>
  <c r="K27" i="41" s="1"/>
  <c r="K47" i="41" s="1"/>
  <c r="L24" i="41"/>
  <c r="L27" i="41" s="1"/>
  <c r="L47" i="41" s="1"/>
  <c r="J29" i="24"/>
  <c r="J37" i="24" s="1"/>
  <c r="I24" i="24"/>
  <c r="I25" i="24" s="1"/>
  <c r="H25" i="24" s="1"/>
  <c r="H24" i="24"/>
  <c r="L37" i="24"/>
  <c r="E29" i="18"/>
  <c r="C24" i="18"/>
  <c r="G29" i="18"/>
  <c r="D24" i="18"/>
  <c r="H29" i="18"/>
  <c r="E24" i="18"/>
  <c r="I29" i="18"/>
  <c r="F24" i="18"/>
  <c r="Q34" i="41"/>
  <c r="O48" i="41"/>
  <c r="O53" i="41" s="1"/>
  <c r="V24" i="41"/>
  <c r="V27" i="41" s="1"/>
  <c r="V47" i="41" s="1"/>
  <c r="N53" i="41"/>
  <c r="S24" i="41"/>
  <c r="S27" i="41" s="1"/>
  <c r="S47" i="41" s="1"/>
  <c r="P34" i="41"/>
  <c r="M50" i="24"/>
  <c r="Q24" i="41"/>
  <c r="Q27" i="41" s="1"/>
  <c r="Q47" i="41" s="1"/>
  <c r="Q55" i="41" s="1"/>
  <c r="D52" i="4"/>
  <c r="E51" i="4"/>
  <c r="L26" i="24"/>
  <c r="E53" i="18"/>
  <c r="P17" i="41"/>
  <c r="P48" i="41"/>
  <c r="P53" i="41" s="1"/>
  <c r="D51" i="4"/>
  <c r="T24" i="41"/>
  <c r="T27" i="41" s="1"/>
  <c r="T47" i="41" s="1"/>
  <c r="P46" i="41"/>
  <c r="R29" i="41"/>
  <c r="R34" i="41" s="1"/>
  <c r="M24" i="41"/>
  <c r="M27" i="41" s="1"/>
  <c r="M47" i="41" s="1"/>
  <c r="M55" i="41" s="1"/>
  <c r="U24" i="41"/>
  <c r="U27" i="41" s="1"/>
  <c r="U47" i="41" s="1"/>
  <c r="D55" i="4"/>
  <c r="P52" i="11"/>
  <c r="P55" i="11"/>
  <c r="P48" i="11"/>
  <c r="P53" i="11" s="1"/>
  <c r="O48" i="11"/>
  <c r="O53" i="11" s="1"/>
  <c r="M48" i="11"/>
  <c r="M53" i="11" s="1"/>
  <c r="N48" i="11"/>
  <c r="N53" i="11" s="1"/>
  <c r="W55" i="6"/>
  <c r="W50" i="6"/>
  <c r="W52" i="6"/>
  <c r="W51" i="6"/>
  <c r="U50" i="6"/>
  <c r="U52" i="6"/>
  <c r="R29" i="6"/>
  <c r="R24" i="6"/>
  <c r="R25" i="6" s="1"/>
  <c r="R53" i="6"/>
  <c r="T24" i="6"/>
  <c r="T25" i="6" s="1"/>
  <c r="T29" i="6"/>
  <c r="T21" i="6"/>
  <c r="U55" i="6"/>
  <c r="V25" i="6"/>
  <c r="V27" i="6" s="1"/>
  <c r="V47" i="6" s="1"/>
  <c r="U51" i="6"/>
  <c r="B50" i="4"/>
  <c r="B51" i="4"/>
  <c r="B52" i="4"/>
  <c r="B55" i="4"/>
  <c r="C25" i="4"/>
  <c r="C27" i="4" s="1"/>
  <c r="C47" i="4" s="1"/>
  <c r="Q50" i="41"/>
  <c r="Q51" i="41"/>
  <c r="P13" i="41"/>
  <c r="O46" i="41"/>
  <c r="N24" i="41"/>
  <c r="N27" i="41" s="1"/>
  <c r="N47" i="41" s="1"/>
  <c r="N50" i="41" s="1"/>
  <c r="O24" i="41"/>
  <c r="O27" i="41" s="1"/>
  <c r="O47" i="41" s="1"/>
  <c r="S29" i="41"/>
  <c r="S34" i="41" s="1"/>
  <c r="M46" i="41"/>
  <c r="M48" i="41"/>
  <c r="M53" i="41" s="1"/>
  <c r="R24" i="41"/>
  <c r="R27" i="41" s="1"/>
  <c r="R47" i="41" s="1"/>
  <c r="R50" i="41" s="1"/>
  <c r="P24" i="41"/>
  <c r="P27" i="41" s="1"/>
  <c r="P47" i="41" s="1"/>
  <c r="F53" i="18"/>
  <c r="L41" i="24"/>
  <c r="M55" i="24"/>
  <c r="M52" i="24"/>
  <c r="M51" i="24"/>
  <c r="J52" i="24"/>
  <c r="J51" i="24"/>
  <c r="J42" i="24"/>
  <c r="M53" i="24"/>
  <c r="Q55" i="19"/>
  <c r="P55" i="19"/>
  <c r="O55" i="19"/>
  <c r="N55" i="19"/>
  <c r="M55" i="19"/>
  <c r="L40" i="19"/>
  <c r="L50" i="19" s="1"/>
  <c r="K40" i="19"/>
  <c r="K41" i="19" s="1"/>
  <c r="K26" i="19"/>
  <c r="O22" i="19"/>
  <c r="K22" i="19"/>
  <c r="O12" i="19"/>
  <c r="O17" i="19" s="1"/>
  <c r="K17" i="19"/>
  <c r="L10" i="19"/>
  <c r="M10" i="19" s="1"/>
  <c r="N10" i="19" s="1"/>
  <c r="O10" i="19" s="1"/>
  <c r="P10" i="19" s="1"/>
  <c r="Q10" i="19" s="1"/>
  <c r="F5" i="2"/>
  <c r="Q52" i="41" l="1"/>
  <c r="K27" i="19"/>
  <c r="K47" i="19" s="1"/>
  <c r="J55" i="24"/>
  <c r="I42" i="24"/>
  <c r="L55" i="41"/>
  <c r="L50" i="41"/>
  <c r="L52" i="41"/>
  <c r="L51" i="41"/>
  <c r="K55" i="41"/>
  <c r="K51" i="41"/>
  <c r="K50" i="41"/>
  <c r="K52" i="41"/>
  <c r="J50" i="41"/>
  <c r="J55" i="41"/>
  <c r="J51" i="41"/>
  <c r="J52" i="41"/>
  <c r="I37" i="24"/>
  <c r="I48" i="24" s="1"/>
  <c r="I53" i="24" s="1"/>
  <c r="H27" i="24"/>
  <c r="H47" i="24" s="1"/>
  <c r="F25" i="18"/>
  <c r="F27" i="18" s="1"/>
  <c r="F47" i="18" s="1"/>
  <c r="D53" i="18"/>
  <c r="L41" i="19"/>
  <c r="L53" i="19" s="1"/>
  <c r="M50" i="41"/>
  <c r="M51" i="41"/>
  <c r="M52" i="41"/>
  <c r="V50" i="6"/>
  <c r="V55" i="6"/>
  <c r="V51" i="6"/>
  <c r="V52" i="6"/>
  <c r="P53" i="6"/>
  <c r="C50" i="4"/>
  <c r="C55" i="4"/>
  <c r="C51" i="4"/>
  <c r="C52" i="4"/>
  <c r="N51" i="41"/>
  <c r="P55" i="41"/>
  <c r="P52" i="41"/>
  <c r="P50" i="41"/>
  <c r="P51" i="41"/>
  <c r="R55" i="41"/>
  <c r="N52" i="41"/>
  <c r="N55" i="41"/>
  <c r="R51" i="41"/>
  <c r="O55" i="41"/>
  <c r="O52" i="41"/>
  <c r="O50" i="41"/>
  <c r="R52" i="41"/>
  <c r="O51" i="41"/>
  <c r="Q48" i="41"/>
  <c r="Q53" i="41" s="1"/>
  <c r="O27" i="37"/>
  <c r="O47" i="37" s="1"/>
  <c r="E25" i="18"/>
  <c r="E27" i="18" s="1"/>
  <c r="E47" i="18" s="1"/>
  <c r="K47" i="24"/>
  <c r="K50" i="24" s="1"/>
  <c r="K41" i="24"/>
  <c r="K13" i="19"/>
  <c r="L51" i="19"/>
  <c r="V55" i="16"/>
  <c r="U55" i="16"/>
  <c r="T55" i="16"/>
  <c r="S42" i="16"/>
  <c r="R42" i="16"/>
  <c r="Q42" i="16"/>
  <c r="P42" i="16"/>
  <c r="N42" i="16"/>
  <c r="M42" i="16"/>
  <c r="L42" i="16"/>
  <c r="AC41" i="16"/>
  <c r="O41" i="16"/>
  <c r="AG40" i="16"/>
  <c r="L44" i="16" s="1"/>
  <c r="S40" i="16"/>
  <c r="S41" i="16" s="1"/>
  <c r="R40" i="16"/>
  <c r="R41" i="16" s="1"/>
  <c r="Q40" i="16"/>
  <c r="Q41" i="16" s="1"/>
  <c r="P40" i="16"/>
  <c r="P41" i="16" s="1"/>
  <c r="N40" i="16"/>
  <c r="N41" i="16" s="1"/>
  <c r="M40" i="16"/>
  <c r="M41" i="16" s="1"/>
  <c r="L39" i="16"/>
  <c r="L41" i="16" s="1"/>
  <c r="V37" i="16"/>
  <c r="R37" i="16"/>
  <c r="N37" i="16"/>
  <c r="U36" i="16"/>
  <c r="Q36" i="16"/>
  <c r="M36" i="16"/>
  <c r="L36" i="16"/>
  <c r="K36" i="16" s="1"/>
  <c r="U35" i="16"/>
  <c r="Q35" i="16"/>
  <c r="P35" i="16" s="1"/>
  <c r="M35" i="16"/>
  <c r="M37" i="16" s="1"/>
  <c r="V32" i="16"/>
  <c r="U32" i="16" s="1"/>
  <c r="R32" i="16"/>
  <c r="Q32" i="16" s="1"/>
  <c r="N32" i="16"/>
  <c r="M32" i="16" s="1"/>
  <c r="L32" i="16" s="1"/>
  <c r="K32" i="16" s="1"/>
  <c r="V31" i="16"/>
  <c r="U31" i="16" s="1"/>
  <c r="R31" i="16"/>
  <c r="N31" i="16"/>
  <c r="M31" i="16" s="1"/>
  <c r="L31" i="16" s="1"/>
  <c r="K31" i="16" s="1"/>
  <c r="U30" i="16"/>
  <c r="T30" i="16" s="1"/>
  <c r="Q30" i="16"/>
  <c r="M30" i="16"/>
  <c r="L30" i="16" s="1"/>
  <c r="K30" i="16" s="1"/>
  <c r="V16" i="16"/>
  <c r="U16" i="16" s="1"/>
  <c r="U22" i="16" s="1"/>
  <c r="U29" i="16" s="1"/>
  <c r="R16" i="16"/>
  <c r="R22" i="16" s="1"/>
  <c r="R29" i="16" s="1"/>
  <c r="N17" i="16"/>
  <c r="R13" i="16"/>
  <c r="Q13" i="16"/>
  <c r="P13" i="16"/>
  <c r="N13" i="16"/>
  <c r="M13" i="16"/>
  <c r="L13" i="16"/>
  <c r="S12" i="16"/>
  <c r="R46" i="16" s="1"/>
  <c r="O12" i="16"/>
  <c r="P10" i="16"/>
  <c r="Q10" i="16" s="1"/>
  <c r="R10" i="16" s="1"/>
  <c r="S10" i="16" s="1"/>
  <c r="T10" i="16" s="1"/>
  <c r="U10" i="16" s="1"/>
  <c r="V10" i="16" s="1"/>
  <c r="L35" i="16" l="1"/>
  <c r="K35" i="16" s="1"/>
  <c r="O52" i="37"/>
  <c r="O50" i="37"/>
  <c r="O55" i="37"/>
  <c r="O51" i="37"/>
  <c r="Q16" i="16"/>
  <c r="Q22" i="16" s="1"/>
  <c r="K52" i="19"/>
  <c r="K50" i="19"/>
  <c r="K51" i="19"/>
  <c r="K48" i="19"/>
  <c r="K55" i="19"/>
  <c r="H42" i="24"/>
  <c r="G42" i="24" s="1"/>
  <c r="I55" i="24"/>
  <c r="F48" i="24"/>
  <c r="F53" i="24" s="1"/>
  <c r="H48" i="24"/>
  <c r="H53" i="24" s="1"/>
  <c r="G48" i="24"/>
  <c r="G53" i="24" s="1"/>
  <c r="H52" i="24"/>
  <c r="H51" i="24"/>
  <c r="H50" i="24"/>
  <c r="F50" i="18"/>
  <c r="F52" i="18"/>
  <c r="F51" i="18"/>
  <c r="C53" i="18"/>
  <c r="B53" i="18"/>
  <c r="L55" i="19"/>
  <c r="N22" i="16"/>
  <c r="N29" i="16" s="1"/>
  <c r="R17" i="16"/>
  <c r="L52" i="19"/>
  <c r="Q31" i="16"/>
  <c r="P31" i="16" s="1"/>
  <c r="O31" i="16" s="1"/>
  <c r="O40" i="16"/>
  <c r="Q37" i="16"/>
  <c r="N46" i="16"/>
  <c r="K13" i="16"/>
  <c r="U37" i="16"/>
  <c r="U17" i="16"/>
  <c r="S30" i="16"/>
  <c r="K37" i="16"/>
  <c r="L46" i="16"/>
  <c r="V22" i="16"/>
  <c r="V29" i="16" s="1"/>
  <c r="T16" i="16"/>
  <c r="T22" i="16" s="1"/>
  <c r="T29" i="16" s="1"/>
  <c r="V17" i="16"/>
  <c r="T31" i="16"/>
  <c r="S31" i="16" s="1"/>
  <c r="P36" i="16"/>
  <c r="O36" i="16" s="1"/>
  <c r="N27" i="37"/>
  <c r="N47" i="37" s="1"/>
  <c r="E50" i="18"/>
  <c r="E51" i="18"/>
  <c r="E52" i="18"/>
  <c r="D25" i="18"/>
  <c r="D27" i="18" s="1"/>
  <c r="D47" i="18" s="1"/>
  <c r="K52" i="24"/>
  <c r="K51" i="24"/>
  <c r="K55" i="24"/>
  <c r="Q29" i="16"/>
  <c r="P30" i="16"/>
  <c r="O30" i="16" s="1"/>
  <c r="P32" i="16"/>
  <c r="O32" i="16" s="1"/>
  <c r="T32" i="16"/>
  <c r="S32" i="16" s="1"/>
  <c r="O35" i="16"/>
  <c r="T35" i="16"/>
  <c r="T36" i="16"/>
  <c r="S36" i="16" s="1"/>
  <c r="AG41" i="16"/>
  <c r="O46" i="16"/>
  <c r="S46" i="16"/>
  <c r="P46" i="16"/>
  <c r="O13" i="16"/>
  <c r="L37" i="16"/>
  <c r="M46" i="16"/>
  <c r="Q46" i="16"/>
  <c r="S35" i="16"/>
  <c r="S55" i="50"/>
  <c r="R55" i="50"/>
  <c r="M50" i="50"/>
  <c r="M41" i="50"/>
  <c r="O13" i="50"/>
  <c r="N13" i="50"/>
  <c r="M13" i="50"/>
  <c r="N10" i="50"/>
  <c r="O10" i="50" s="1"/>
  <c r="P10" i="50" s="1"/>
  <c r="Q10" i="50" s="1"/>
  <c r="R10" i="50" s="1"/>
  <c r="S10" i="50" s="1"/>
  <c r="H55" i="24" l="1"/>
  <c r="Q17" i="16"/>
  <c r="I48" i="16"/>
  <c r="I53" i="16" s="1"/>
  <c r="H48" i="16"/>
  <c r="H53" i="16" s="1"/>
  <c r="J48" i="16"/>
  <c r="J53" i="16" s="1"/>
  <c r="P37" i="16"/>
  <c r="M55" i="50"/>
  <c r="M53" i="50"/>
  <c r="L41" i="50"/>
  <c r="P16" i="16"/>
  <c r="P17" i="16" s="1"/>
  <c r="N55" i="37"/>
  <c r="N50" i="37"/>
  <c r="N51" i="37"/>
  <c r="N52" i="37"/>
  <c r="K53" i="19"/>
  <c r="J48" i="19"/>
  <c r="F42" i="24"/>
  <c r="G55" i="24"/>
  <c r="K27" i="37"/>
  <c r="K47" i="37" s="1"/>
  <c r="L27" i="37"/>
  <c r="L47" i="37" s="1"/>
  <c r="B27" i="18"/>
  <c r="B47" i="18" s="1"/>
  <c r="P22" i="16"/>
  <c r="M22" i="16"/>
  <c r="M29" i="16" s="1"/>
  <c r="O16" i="16"/>
  <c r="M51" i="50"/>
  <c r="M17" i="16"/>
  <c r="K48" i="16"/>
  <c r="K53" i="16" s="1"/>
  <c r="S16" i="16"/>
  <c r="T17" i="16"/>
  <c r="M27" i="37"/>
  <c r="M47" i="37" s="1"/>
  <c r="D50" i="18"/>
  <c r="D52" i="18"/>
  <c r="D51" i="18"/>
  <c r="C25" i="18"/>
  <c r="C27" i="18" s="1"/>
  <c r="C47" i="18" s="1"/>
  <c r="O37" i="16"/>
  <c r="L48" i="16" s="1"/>
  <c r="L53" i="16" s="1"/>
  <c r="S37" i="16"/>
  <c r="T37" i="16"/>
  <c r="P29" i="16"/>
  <c r="M52" i="50"/>
  <c r="N55" i="48"/>
  <c r="M55" i="48"/>
  <c r="L55" i="48"/>
  <c r="K55" i="48"/>
  <c r="J55" i="48"/>
  <c r="I55" i="48"/>
  <c r="H55" i="48"/>
  <c r="G55" i="48"/>
  <c r="F55" i="48"/>
  <c r="K46" i="48"/>
  <c r="J46" i="48"/>
  <c r="I46" i="48"/>
  <c r="H46" i="48"/>
  <c r="G46" i="48"/>
  <c r="F46" i="48"/>
  <c r="I40" i="48"/>
  <c r="I41" i="48" s="1"/>
  <c r="F40" i="48"/>
  <c r="F41" i="48" s="1"/>
  <c r="N37" i="48"/>
  <c r="M37" i="48"/>
  <c r="L37" i="48"/>
  <c r="K37" i="48"/>
  <c r="I37" i="48"/>
  <c r="H37" i="48"/>
  <c r="G37" i="48"/>
  <c r="J36" i="48"/>
  <c r="J37" i="48" s="1"/>
  <c r="F36" i="48"/>
  <c r="J35" i="48"/>
  <c r="F35" i="48"/>
  <c r="J32" i="48"/>
  <c r="F32" i="48"/>
  <c r="J31" i="48"/>
  <c r="F31" i="48"/>
  <c r="J30" i="48"/>
  <c r="F30" i="48"/>
  <c r="N22" i="48"/>
  <c r="N29" i="48" s="1"/>
  <c r="N34" i="48" s="1"/>
  <c r="M22" i="48"/>
  <c r="M29" i="48" s="1"/>
  <c r="M34" i="48" s="1"/>
  <c r="L22" i="48"/>
  <c r="L29" i="48" s="1"/>
  <c r="L34" i="48" s="1"/>
  <c r="K22" i="48"/>
  <c r="K29" i="48" s="1"/>
  <c r="K34" i="48" s="1"/>
  <c r="J22" i="48"/>
  <c r="I22" i="48"/>
  <c r="I29" i="48" s="1"/>
  <c r="I34" i="48" s="1"/>
  <c r="H22" i="48"/>
  <c r="H29" i="48" s="1"/>
  <c r="H34" i="48" s="1"/>
  <c r="G22" i="48"/>
  <c r="G29" i="48" s="1"/>
  <c r="G34" i="48" s="1"/>
  <c r="F22" i="48"/>
  <c r="N17" i="48"/>
  <c r="M17" i="48"/>
  <c r="L17" i="48"/>
  <c r="K17" i="48"/>
  <c r="J17" i="48"/>
  <c r="I17" i="48"/>
  <c r="H17" i="48"/>
  <c r="G17" i="48"/>
  <c r="F17" i="48"/>
  <c r="J13" i="48"/>
  <c r="I13" i="48"/>
  <c r="H13" i="48"/>
  <c r="G13" i="48"/>
  <c r="F13" i="48"/>
  <c r="H10" i="48"/>
  <c r="I10" i="48" s="1"/>
  <c r="J10" i="48" s="1"/>
  <c r="K10" i="48" s="1"/>
  <c r="L10" i="48" s="1"/>
  <c r="M10" i="48" s="1"/>
  <c r="N10" i="48" s="1"/>
  <c r="U55" i="47"/>
  <c r="T55" i="47"/>
  <c r="S55" i="47"/>
  <c r="P55" i="47"/>
  <c r="O55" i="47"/>
  <c r="N50" i="47"/>
  <c r="P46" i="47"/>
  <c r="O46" i="47"/>
  <c r="N41" i="47"/>
  <c r="N53" i="47" s="1"/>
  <c r="M41" i="47"/>
  <c r="S37" i="47"/>
  <c r="R37" i="47"/>
  <c r="Q37" i="47"/>
  <c r="P37" i="47"/>
  <c r="O37" i="47"/>
  <c r="N37" i="47"/>
  <c r="M37" i="47"/>
  <c r="S29" i="47"/>
  <c r="R29" i="47"/>
  <c r="Q29" i="47"/>
  <c r="P29" i="47"/>
  <c r="O29" i="47"/>
  <c r="N29" i="47"/>
  <c r="M29" i="47"/>
  <c r="N27" i="47"/>
  <c r="M47" i="47"/>
  <c r="M50" i="47" s="1"/>
  <c r="P24" i="47"/>
  <c r="P27" i="47" s="1"/>
  <c r="P47" i="47" s="1"/>
  <c r="O24" i="47"/>
  <c r="O27" i="47" s="1"/>
  <c r="O47" i="47" s="1"/>
  <c r="S21" i="47"/>
  <c r="S33" i="47" s="1"/>
  <c r="R21" i="47"/>
  <c r="R33" i="47" s="1"/>
  <c r="Q21" i="47"/>
  <c r="Q33" i="47" s="1"/>
  <c r="P21" i="47"/>
  <c r="P33" i="47" s="1"/>
  <c r="O21" i="47"/>
  <c r="O33" i="47" s="1"/>
  <c r="N21" i="47"/>
  <c r="N33" i="47" s="1"/>
  <c r="M33" i="47"/>
  <c r="S17" i="47"/>
  <c r="R17" i="47"/>
  <c r="Q17" i="47"/>
  <c r="P17" i="47"/>
  <c r="O17" i="47"/>
  <c r="N17" i="47"/>
  <c r="O13" i="47"/>
  <c r="N13" i="47"/>
  <c r="M13" i="47"/>
  <c r="O10" i="47"/>
  <c r="P10" i="47" s="1"/>
  <c r="Q10" i="47" s="1"/>
  <c r="R10" i="47" s="1"/>
  <c r="S10" i="47" s="1"/>
  <c r="T10" i="47" s="1"/>
  <c r="U10" i="47" s="1"/>
  <c r="V55" i="15"/>
  <c r="U55" i="15"/>
  <c r="T55" i="15"/>
  <c r="S55" i="15"/>
  <c r="R55" i="15"/>
  <c r="Q55" i="15"/>
  <c r="P55" i="15"/>
  <c r="O55" i="15"/>
  <c r="N55" i="15"/>
  <c r="S46" i="15"/>
  <c r="R46" i="15"/>
  <c r="Q46" i="15"/>
  <c r="P46" i="15"/>
  <c r="O46" i="15"/>
  <c r="N46" i="15"/>
  <c r="M46" i="15"/>
  <c r="Q41" i="15"/>
  <c r="O41" i="15"/>
  <c r="M41" i="15"/>
  <c r="S40" i="15"/>
  <c r="S41" i="15" s="1"/>
  <c r="R40" i="15"/>
  <c r="R41" i="15" s="1"/>
  <c r="Q40" i="15"/>
  <c r="P40" i="15"/>
  <c r="P41" i="15" s="1"/>
  <c r="L40" i="15"/>
  <c r="L41" i="15" s="1"/>
  <c r="V37" i="15"/>
  <c r="U37" i="15"/>
  <c r="T37" i="15"/>
  <c r="S37" i="15"/>
  <c r="R37" i="15"/>
  <c r="Q37" i="15"/>
  <c r="O37" i="15"/>
  <c r="N37" i="15"/>
  <c r="M37" i="15"/>
  <c r="K37" i="15"/>
  <c r="H48" i="15" s="1"/>
  <c r="H53" i="15" s="1"/>
  <c r="K29" i="15"/>
  <c r="L25" i="15"/>
  <c r="L27" i="15" s="1"/>
  <c r="L47" i="15" s="1"/>
  <c r="V22" i="15"/>
  <c r="V29" i="15" s="1"/>
  <c r="U22" i="15"/>
  <c r="U29" i="15" s="1"/>
  <c r="T22" i="15"/>
  <c r="T29" i="15" s="1"/>
  <c r="S29" i="15"/>
  <c r="Q29" i="15"/>
  <c r="P29" i="15"/>
  <c r="O29" i="15"/>
  <c r="N29" i="15"/>
  <c r="M29" i="15"/>
  <c r="V17" i="15"/>
  <c r="U17" i="15"/>
  <c r="T17" i="15"/>
  <c r="S17" i="15"/>
  <c r="R17" i="15"/>
  <c r="Q17" i="15"/>
  <c r="P17" i="15"/>
  <c r="O17" i="15"/>
  <c r="N17" i="15"/>
  <c r="M17" i="15"/>
  <c r="K17" i="15"/>
  <c r="R13" i="15"/>
  <c r="Q13" i="15"/>
  <c r="P13" i="15"/>
  <c r="O13" i="15"/>
  <c r="N13" i="15"/>
  <c r="M13" i="15"/>
  <c r="L13" i="15"/>
  <c r="K13" i="15"/>
  <c r="P10" i="15"/>
  <c r="Q10" i="15" s="1"/>
  <c r="R10" i="15" s="1"/>
  <c r="S10" i="15" s="1"/>
  <c r="T10" i="15" s="1"/>
  <c r="U10" i="15" s="1"/>
  <c r="V10" i="15" s="1"/>
  <c r="N55" i="14"/>
  <c r="M55" i="14"/>
  <c r="L55" i="14"/>
  <c r="K46" i="14"/>
  <c r="J46" i="14"/>
  <c r="I46" i="14"/>
  <c r="H46" i="14"/>
  <c r="G46" i="14"/>
  <c r="K42" i="14"/>
  <c r="J42" i="14"/>
  <c r="I42" i="14"/>
  <c r="H42" i="14"/>
  <c r="G42" i="14"/>
  <c r="F42" i="14"/>
  <c r="E42" i="14"/>
  <c r="D42" i="14"/>
  <c r="C42" i="14"/>
  <c r="K41" i="14"/>
  <c r="J41" i="14"/>
  <c r="I41" i="14"/>
  <c r="H41" i="14"/>
  <c r="G41" i="14"/>
  <c r="F41" i="14"/>
  <c r="E41" i="14"/>
  <c r="D41" i="14"/>
  <c r="C41" i="14"/>
  <c r="N36" i="14"/>
  <c r="N37" i="14" s="1"/>
  <c r="M36" i="14"/>
  <c r="M37" i="14" s="1"/>
  <c r="L36" i="14"/>
  <c r="L37" i="14" s="1"/>
  <c r="K36" i="14"/>
  <c r="K37" i="14" s="1"/>
  <c r="J36" i="14"/>
  <c r="J37" i="14" s="1"/>
  <c r="I36" i="14"/>
  <c r="G36" i="14" s="1"/>
  <c r="H36" i="14"/>
  <c r="H37" i="14" s="1"/>
  <c r="E36" i="14"/>
  <c r="E37" i="14" s="1"/>
  <c r="G35" i="14"/>
  <c r="D35" i="14"/>
  <c r="C35" i="14" s="1"/>
  <c r="B35" i="14" s="1"/>
  <c r="G32" i="14"/>
  <c r="F32" i="14" s="1"/>
  <c r="E32" i="14"/>
  <c r="D32" i="14" s="1"/>
  <c r="C32" i="14" s="1"/>
  <c r="B32" i="14" s="1"/>
  <c r="N31" i="14"/>
  <c r="M31" i="14"/>
  <c r="L31" i="14"/>
  <c r="K31" i="14"/>
  <c r="I31" i="14"/>
  <c r="H31" i="14"/>
  <c r="E31" i="14"/>
  <c r="B31" i="14" s="1"/>
  <c r="N22" i="14"/>
  <c r="N29" i="14" s="1"/>
  <c r="M22" i="14"/>
  <c r="M29" i="14" s="1"/>
  <c r="L22" i="14"/>
  <c r="L29" i="14" s="1"/>
  <c r="K22" i="14"/>
  <c r="K29" i="14" s="1"/>
  <c r="J22" i="14"/>
  <c r="J29" i="14" s="1"/>
  <c r="I22" i="14"/>
  <c r="H22" i="14"/>
  <c r="H29" i="14" s="1"/>
  <c r="G22" i="14"/>
  <c r="E22" i="14"/>
  <c r="E29" i="14" s="1"/>
  <c r="D22" i="14"/>
  <c r="D29" i="14" s="1"/>
  <c r="C22" i="14"/>
  <c r="N17" i="14"/>
  <c r="M17" i="14"/>
  <c r="L17" i="14"/>
  <c r="K17" i="14"/>
  <c r="J17" i="14"/>
  <c r="I17" i="14"/>
  <c r="H17" i="14"/>
  <c r="G17" i="14"/>
  <c r="E17" i="14"/>
  <c r="D17" i="14"/>
  <c r="C17" i="14"/>
  <c r="F22" i="14"/>
  <c r="J13" i="14"/>
  <c r="I13" i="14"/>
  <c r="H13" i="14"/>
  <c r="G13" i="14"/>
  <c r="E13" i="14"/>
  <c r="D13" i="14"/>
  <c r="C13" i="14"/>
  <c r="F12" i="14"/>
  <c r="D46" i="14" s="1"/>
  <c r="H10" i="14"/>
  <c r="I10" i="14" s="1"/>
  <c r="J10" i="14" s="1"/>
  <c r="K10" i="14" s="1"/>
  <c r="L10" i="14" s="1"/>
  <c r="M10" i="14" s="1"/>
  <c r="N10" i="14" s="1"/>
  <c r="N55" i="46"/>
  <c r="M55" i="46"/>
  <c r="L55" i="46"/>
  <c r="K55" i="46"/>
  <c r="J55" i="46"/>
  <c r="I55" i="46"/>
  <c r="H55" i="46"/>
  <c r="E48" i="46"/>
  <c r="G46" i="46"/>
  <c r="F46" i="46"/>
  <c r="C42" i="46"/>
  <c r="G41" i="46"/>
  <c r="G53" i="46" s="1"/>
  <c r="F41" i="46"/>
  <c r="F40" i="46" s="1"/>
  <c r="E41" i="46"/>
  <c r="E40" i="46" s="1"/>
  <c r="B41" i="46"/>
  <c r="B40" i="46" s="1"/>
  <c r="G40" i="46"/>
  <c r="D40" i="46"/>
  <c r="D41" i="46" s="1"/>
  <c r="C39" i="46"/>
  <c r="G37" i="46"/>
  <c r="F37" i="46"/>
  <c r="E37" i="46"/>
  <c r="D37" i="46"/>
  <c r="B37" i="46"/>
  <c r="C36" i="46"/>
  <c r="C35" i="46"/>
  <c r="G32" i="46"/>
  <c r="F32" i="46"/>
  <c r="D32" i="46"/>
  <c r="C32" i="46" s="1"/>
  <c r="B32" i="46"/>
  <c r="C25" i="46"/>
  <c r="N22" i="46"/>
  <c r="M22" i="46"/>
  <c r="L22" i="46"/>
  <c r="K22" i="46"/>
  <c r="J22" i="46"/>
  <c r="I22" i="46"/>
  <c r="H22" i="46"/>
  <c r="G22" i="46"/>
  <c r="G29" i="46" s="1"/>
  <c r="F22" i="46"/>
  <c r="D22" i="46"/>
  <c r="D29" i="46" s="1"/>
  <c r="C22" i="46"/>
  <c r="C29" i="46" s="1"/>
  <c r="B22" i="46"/>
  <c r="B29" i="46" s="1"/>
  <c r="N17" i="46"/>
  <c r="M17" i="46"/>
  <c r="L17" i="46"/>
  <c r="K17" i="46"/>
  <c r="J17" i="46"/>
  <c r="I17" i="46"/>
  <c r="H17" i="46"/>
  <c r="G17" i="46"/>
  <c r="F17" i="46"/>
  <c r="D17" i="46"/>
  <c r="C17" i="46"/>
  <c r="B17" i="46"/>
  <c r="U16" i="46"/>
  <c r="E16" i="46"/>
  <c r="E22" i="46" s="1"/>
  <c r="E29" i="46" s="1"/>
  <c r="J13" i="46"/>
  <c r="I13" i="46"/>
  <c r="H13" i="46"/>
  <c r="G13" i="46"/>
  <c r="F13" i="46"/>
  <c r="D13" i="46"/>
  <c r="C13" i="46"/>
  <c r="B13" i="46"/>
  <c r="U12" i="46"/>
  <c r="E12" i="46"/>
  <c r="E46" i="46" s="1"/>
  <c r="Y55" i="25"/>
  <c r="X55" i="25"/>
  <c r="W55" i="25"/>
  <c r="V55" i="25"/>
  <c r="U55" i="25"/>
  <c r="T55" i="25"/>
  <c r="S55" i="25"/>
  <c r="R55" i="25"/>
  <c r="Q55" i="25"/>
  <c r="P55" i="25"/>
  <c r="O55" i="25"/>
  <c r="N55" i="25"/>
  <c r="V46" i="25"/>
  <c r="U46" i="25"/>
  <c r="T46" i="25"/>
  <c r="S46" i="25"/>
  <c r="R46" i="25"/>
  <c r="Q46" i="25"/>
  <c r="M42" i="25"/>
  <c r="N41" i="25"/>
  <c r="M41" i="25"/>
  <c r="O39" i="25"/>
  <c r="O40" i="25" s="1"/>
  <c r="Y37" i="25"/>
  <c r="X37" i="25"/>
  <c r="W37" i="25"/>
  <c r="V37" i="25"/>
  <c r="U37" i="25"/>
  <c r="T37" i="25"/>
  <c r="S37" i="25"/>
  <c r="R37" i="25"/>
  <c r="Q37" i="25"/>
  <c r="O37" i="25"/>
  <c r="N37" i="25"/>
  <c r="J48" i="25"/>
  <c r="J53" i="25" s="1"/>
  <c r="P36" i="25"/>
  <c r="P35" i="25"/>
  <c r="P37" i="25" s="1"/>
  <c r="S32" i="25"/>
  <c r="R32" i="25"/>
  <c r="Q32" i="25"/>
  <c r="Y22" i="25"/>
  <c r="Y29" i="25" s="1"/>
  <c r="X22" i="25"/>
  <c r="X29" i="25" s="1"/>
  <c r="W22" i="25"/>
  <c r="V22" i="25"/>
  <c r="V29" i="25" s="1"/>
  <c r="U22" i="25"/>
  <c r="T22" i="25"/>
  <c r="S22" i="25"/>
  <c r="R22" i="25"/>
  <c r="R29" i="25" s="1"/>
  <c r="Q22" i="25"/>
  <c r="P22" i="25"/>
  <c r="O22" i="25"/>
  <c r="O29" i="25" s="1"/>
  <c r="N22" i="25"/>
  <c r="M22" i="25"/>
  <c r="J24" i="25" s="1"/>
  <c r="J25" i="25" s="1"/>
  <c r="J27" i="25" s="1"/>
  <c r="J47" i="25" s="1"/>
  <c r="Y17" i="25"/>
  <c r="X17" i="25"/>
  <c r="W17" i="25"/>
  <c r="V17" i="25"/>
  <c r="U17" i="25"/>
  <c r="T17" i="25"/>
  <c r="S17" i="25"/>
  <c r="R17" i="25"/>
  <c r="Q17" i="25"/>
  <c r="O17" i="25"/>
  <c r="N17" i="25"/>
  <c r="M17" i="25"/>
  <c r="U13" i="25"/>
  <c r="T13" i="25"/>
  <c r="S13" i="25"/>
  <c r="R13" i="25"/>
  <c r="Q13" i="25"/>
  <c r="O13" i="25"/>
  <c r="N13" i="25"/>
  <c r="M13" i="25"/>
  <c r="P12" i="25"/>
  <c r="Y55" i="44"/>
  <c r="X55" i="44"/>
  <c r="W55" i="44"/>
  <c r="S46" i="44"/>
  <c r="R46" i="44"/>
  <c r="Q46" i="44"/>
  <c r="V42" i="44"/>
  <c r="U42" i="44"/>
  <c r="T42" i="44"/>
  <c r="S42" i="44"/>
  <c r="R42" i="44"/>
  <c r="Q42" i="44"/>
  <c r="P42" i="44"/>
  <c r="O42" i="44"/>
  <c r="N42" i="44"/>
  <c r="M42" i="44"/>
  <c r="S41" i="44"/>
  <c r="Q41" i="44"/>
  <c r="P41" i="44"/>
  <c r="R40" i="44"/>
  <c r="R41" i="44" s="1"/>
  <c r="O40" i="44"/>
  <c r="O41" i="44" s="1"/>
  <c r="N40" i="44"/>
  <c r="N41" i="44" s="1"/>
  <c r="M40" i="44"/>
  <c r="M41" i="44" s="1"/>
  <c r="Y37" i="44"/>
  <c r="X37" i="44"/>
  <c r="W37" i="44"/>
  <c r="S37" i="44"/>
  <c r="O37" i="44"/>
  <c r="V36" i="44"/>
  <c r="R36" i="44"/>
  <c r="Q36" i="44" s="1"/>
  <c r="P36" i="44" s="1"/>
  <c r="N36" i="44"/>
  <c r="M36" i="44" s="1"/>
  <c r="L36" i="44" s="1"/>
  <c r="V35" i="44"/>
  <c r="R35" i="44"/>
  <c r="N35" i="44"/>
  <c r="V32" i="44"/>
  <c r="S32" i="44"/>
  <c r="O32" i="44"/>
  <c r="N32" i="44" s="1"/>
  <c r="M32" i="44" s="1"/>
  <c r="L32" i="44" s="1"/>
  <c r="V31" i="44"/>
  <c r="U31" i="44" s="1"/>
  <c r="T31" i="44" s="1"/>
  <c r="R31" i="44"/>
  <c r="Q31" i="44" s="1"/>
  <c r="P31" i="44" s="1"/>
  <c r="L31" i="44"/>
  <c r="V30" i="44"/>
  <c r="U30" i="44" s="1"/>
  <c r="T30" i="44" s="1"/>
  <c r="R30" i="44"/>
  <c r="Q30" i="44" s="1"/>
  <c r="N30" i="44"/>
  <c r="M30" i="44" s="1"/>
  <c r="L30" i="44" s="1"/>
  <c r="Y22" i="44"/>
  <c r="Y29" i="44" s="1"/>
  <c r="X22" i="44"/>
  <c r="X29" i="44" s="1"/>
  <c r="V22" i="44"/>
  <c r="V29" i="44" s="1"/>
  <c r="U22" i="44"/>
  <c r="U29" i="44" s="1"/>
  <c r="T22" i="44"/>
  <c r="T29" i="44" s="1"/>
  <c r="R22" i="44"/>
  <c r="R29" i="44" s="1"/>
  <c r="Q22" i="44"/>
  <c r="O21" i="44"/>
  <c r="O20" i="44"/>
  <c r="Y17" i="44"/>
  <c r="X17" i="44"/>
  <c r="V17" i="44"/>
  <c r="U17" i="44"/>
  <c r="T17" i="44"/>
  <c r="R17" i="44"/>
  <c r="Q17" i="44"/>
  <c r="W16" i="44"/>
  <c r="W22" i="44" s="1"/>
  <c r="W29" i="44" s="1"/>
  <c r="S16" i="44"/>
  <c r="N16" i="44"/>
  <c r="N22" i="44" s="1"/>
  <c r="M16" i="44"/>
  <c r="M17" i="44" s="1"/>
  <c r="U13" i="44"/>
  <c r="T13" i="44"/>
  <c r="R13" i="44"/>
  <c r="Q13" i="44"/>
  <c r="O13" i="44"/>
  <c r="N13" i="44"/>
  <c r="M13" i="44"/>
  <c r="W12" i="44"/>
  <c r="V46" i="44" s="1"/>
  <c r="P12" i="44"/>
  <c r="V55" i="43"/>
  <c r="U55" i="43"/>
  <c r="T55" i="43"/>
  <c r="S55" i="43"/>
  <c r="O46" i="43"/>
  <c r="N46" i="43"/>
  <c r="M46" i="43"/>
  <c r="R42" i="43"/>
  <c r="Q42" i="43"/>
  <c r="P42" i="43"/>
  <c r="O42" i="43"/>
  <c r="N42" i="43"/>
  <c r="M42" i="43"/>
  <c r="R41" i="43"/>
  <c r="R53" i="43" s="1"/>
  <c r="Q41" i="43"/>
  <c r="P41" i="43"/>
  <c r="O41" i="43"/>
  <c r="N41" i="43"/>
  <c r="M41" i="43"/>
  <c r="S37" i="43"/>
  <c r="O37" i="43"/>
  <c r="R36" i="43"/>
  <c r="Q36" i="43" s="1"/>
  <c r="P36" i="43" s="1"/>
  <c r="R35" i="43"/>
  <c r="Q35" i="43" s="1"/>
  <c r="P35" i="43" s="1"/>
  <c r="P37" i="43" s="1"/>
  <c r="N37" i="43"/>
  <c r="S32" i="43"/>
  <c r="R32" i="43" s="1"/>
  <c r="Q32" i="43" s="1"/>
  <c r="P32" i="43" s="1"/>
  <c r="S31" i="43"/>
  <c r="R31" i="43" s="1"/>
  <c r="Q31" i="43" s="1"/>
  <c r="P31" i="43" s="1"/>
  <c r="S30" i="43"/>
  <c r="R30" i="43" s="1"/>
  <c r="Q30" i="43" s="1"/>
  <c r="P30" i="43" s="1"/>
  <c r="T27" i="43"/>
  <c r="T47" i="43" s="1"/>
  <c r="V22" i="43"/>
  <c r="U22" i="43"/>
  <c r="T22" i="43"/>
  <c r="T29" i="43" s="1"/>
  <c r="S22" i="43"/>
  <c r="S29" i="43" s="1"/>
  <c r="R22" i="43"/>
  <c r="Q22" i="43"/>
  <c r="P22" i="43"/>
  <c r="P29" i="43" s="1"/>
  <c r="O29" i="43"/>
  <c r="O34" i="43" s="1"/>
  <c r="V17" i="43"/>
  <c r="U17" i="43"/>
  <c r="T17" i="43"/>
  <c r="S17" i="43"/>
  <c r="R17" i="43"/>
  <c r="Q17" i="43"/>
  <c r="P17" i="43"/>
  <c r="O17" i="43"/>
  <c r="N17" i="43"/>
  <c r="M17" i="43"/>
  <c r="R13" i="43"/>
  <c r="Q13" i="43"/>
  <c r="P13" i="43"/>
  <c r="O13" i="43"/>
  <c r="N13" i="43"/>
  <c r="M13" i="43"/>
  <c r="R37" i="44" l="1"/>
  <c r="E13" i="46"/>
  <c r="R48" i="25"/>
  <c r="R53" i="25" s="1"/>
  <c r="V48" i="25"/>
  <c r="V53" i="25" s="1"/>
  <c r="E53" i="46"/>
  <c r="S34" i="47"/>
  <c r="M48" i="47"/>
  <c r="L48" i="47" s="1"/>
  <c r="L53" i="47" s="1"/>
  <c r="F24" i="46"/>
  <c r="F27" i="46" s="1"/>
  <c r="F47" i="46" s="1"/>
  <c r="F51" i="46" s="1"/>
  <c r="F53" i="46"/>
  <c r="F31" i="14"/>
  <c r="J48" i="48"/>
  <c r="J53" i="48" s="1"/>
  <c r="K48" i="48"/>
  <c r="K53" i="48" s="1"/>
  <c r="L52" i="50"/>
  <c r="L51" i="50"/>
  <c r="L55" i="50"/>
  <c r="L53" i="50"/>
  <c r="Q29" i="44"/>
  <c r="R32" i="44"/>
  <c r="Q32" i="44" s="1"/>
  <c r="P32" i="44" s="1"/>
  <c r="P48" i="47"/>
  <c r="M55" i="37"/>
  <c r="M50" i="37"/>
  <c r="M52" i="37"/>
  <c r="M51" i="37"/>
  <c r="F55" i="24"/>
  <c r="E42" i="24"/>
  <c r="G37" i="14"/>
  <c r="S48" i="15"/>
  <c r="S53" i="15" s="1"/>
  <c r="P48" i="16"/>
  <c r="P53" i="16" s="1"/>
  <c r="L52" i="37"/>
  <c r="L50" i="37"/>
  <c r="L55" i="37"/>
  <c r="L51" i="37"/>
  <c r="M55" i="25"/>
  <c r="L42" i="25"/>
  <c r="V37" i="44"/>
  <c r="P24" i="25"/>
  <c r="P27" i="25" s="1"/>
  <c r="P47" i="25" s="1"/>
  <c r="S22" i="44"/>
  <c r="P22" i="44" s="1"/>
  <c r="P16" i="44"/>
  <c r="F29" i="48"/>
  <c r="F34" i="48" s="1"/>
  <c r="D24" i="48"/>
  <c r="D27" i="48" s="1"/>
  <c r="D47" i="48" s="1"/>
  <c r="C24" i="48"/>
  <c r="C27" i="48" s="1"/>
  <c r="C47" i="48" s="1"/>
  <c r="E24" i="48"/>
  <c r="E27" i="48" s="1"/>
  <c r="E47" i="48" s="1"/>
  <c r="O46" i="44"/>
  <c r="L13" i="44"/>
  <c r="O46" i="25"/>
  <c r="L13" i="25"/>
  <c r="P32" i="25"/>
  <c r="B46" i="46"/>
  <c r="J53" i="19"/>
  <c r="I48" i="19"/>
  <c r="K55" i="37"/>
  <c r="K52" i="37"/>
  <c r="K50" i="37"/>
  <c r="K51" i="37"/>
  <c r="J52" i="25"/>
  <c r="J50" i="25"/>
  <c r="J51" i="25"/>
  <c r="L48" i="25"/>
  <c r="L53" i="25" s="1"/>
  <c r="K48" i="25"/>
  <c r="K53" i="25" s="1"/>
  <c r="L24" i="43"/>
  <c r="L25" i="43" s="1"/>
  <c r="L27" i="43" s="1"/>
  <c r="L47" i="43" s="1"/>
  <c r="J24" i="43"/>
  <c r="J27" i="43" s="1"/>
  <c r="J47" i="43" s="1"/>
  <c r="K24" i="43"/>
  <c r="K27" i="43" s="1"/>
  <c r="K47" i="43" s="1"/>
  <c r="N29" i="25"/>
  <c r="K24" i="25"/>
  <c r="L24" i="25"/>
  <c r="L25" i="25" s="1"/>
  <c r="L27" i="25" s="1"/>
  <c r="L47" i="25" s="1"/>
  <c r="R24" i="43"/>
  <c r="R27" i="43" s="1"/>
  <c r="R47" i="43" s="1"/>
  <c r="R50" i="43" s="1"/>
  <c r="B52" i="18"/>
  <c r="B51" i="18"/>
  <c r="B50" i="18"/>
  <c r="O22" i="16"/>
  <c r="O17" i="16"/>
  <c r="F29" i="46"/>
  <c r="L22" i="16"/>
  <c r="L17" i="16"/>
  <c r="K16" i="16"/>
  <c r="P46" i="25"/>
  <c r="L37" i="15"/>
  <c r="O16" i="44"/>
  <c r="O17" i="44" s="1"/>
  <c r="K24" i="46"/>
  <c r="K27" i="46" s="1"/>
  <c r="J31" i="14"/>
  <c r="Q24" i="43"/>
  <c r="Q27" i="43" s="1"/>
  <c r="Q47" i="43" s="1"/>
  <c r="Q50" i="43" s="1"/>
  <c r="N37" i="44"/>
  <c r="R37" i="43"/>
  <c r="M48" i="25"/>
  <c r="M53" i="25" s="1"/>
  <c r="O34" i="47"/>
  <c r="P30" i="44"/>
  <c r="U46" i="44"/>
  <c r="P17" i="25"/>
  <c r="S24" i="25"/>
  <c r="S27" i="25" s="1"/>
  <c r="S47" i="25" s="1"/>
  <c r="S52" i="25" s="1"/>
  <c r="D50" i="46"/>
  <c r="Q48" i="15"/>
  <c r="Q53" i="15" s="1"/>
  <c r="N52" i="47"/>
  <c r="F37" i="48"/>
  <c r="O22" i="44"/>
  <c r="O29" i="44" s="1"/>
  <c r="T24" i="25"/>
  <c r="T27" i="25" s="1"/>
  <c r="T47" i="25" s="1"/>
  <c r="T51" i="25" s="1"/>
  <c r="G24" i="46"/>
  <c r="G27" i="46" s="1"/>
  <c r="G47" i="46" s="1"/>
  <c r="G51" i="46" s="1"/>
  <c r="G24" i="14"/>
  <c r="G27" i="14" s="1"/>
  <c r="G47" i="14" s="1"/>
  <c r="G52" i="14" s="1"/>
  <c r="L50" i="15"/>
  <c r="N55" i="47"/>
  <c r="S22" i="16"/>
  <c r="S17" i="16"/>
  <c r="M24" i="43"/>
  <c r="M27" i="43" s="1"/>
  <c r="M47" i="43" s="1"/>
  <c r="M50" i="43" s="1"/>
  <c r="N24" i="43"/>
  <c r="N27" i="43" s="1"/>
  <c r="N47" i="43" s="1"/>
  <c r="N50" i="43" s="1"/>
  <c r="P13" i="44"/>
  <c r="W17" i="44"/>
  <c r="M24" i="25"/>
  <c r="U24" i="25"/>
  <c r="U27" i="25" s="1"/>
  <c r="U47" i="25" s="1"/>
  <c r="U50" i="25" s="1"/>
  <c r="Q48" i="25"/>
  <c r="Q53" i="25" s="1"/>
  <c r="H24" i="46"/>
  <c r="H27" i="46" s="1"/>
  <c r="C37" i="46"/>
  <c r="C40" i="46"/>
  <c r="E46" i="14"/>
  <c r="B13" i="14"/>
  <c r="H24" i="14"/>
  <c r="H27" i="14" s="1"/>
  <c r="H47" i="14" s="1"/>
  <c r="H51" i="14" s="1"/>
  <c r="C46" i="14"/>
  <c r="N34" i="47"/>
  <c r="B24" i="46"/>
  <c r="B27" i="46" s="1"/>
  <c r="B47" i="46" s="1"/>
  <c r="B51" i="46" s="1"/>
  <c r="J24" i="46"/>
  <c r="J27" i="46" s="1"/>
  <c r="I24" i="14"/>
  <c r="I27" i="14" s="1"/>
  <c r="I47" i="14" s="1"/>
  <c r="I50" i="14" s="1"/>
  <c r="J48" i="14"/>
  <c r="J53" i="14" s="1"/>
  <c r="I24" i="48"/>
  <c r="I27" i="48" s="1"/>
  <c r="I47" i="48" s="1"/>
  <c r="I50" i="48" s="1"/>
  <c r="M29" i="43"/>
  <c r="M34" i="43" s="1"/>
  <c r="Q35" i="44"/>
  <c r="M46" i="44"/>
  <c r="V24" i="25"/>
  <c r="V27" i="25" s="1"/>
  <c r="V47" i="25" s="1"/>
  <c r="V52" i="25" s="1"/>
  <c r="S48" i="25"/>
  <c r="S53" i="25" s="1"/>
  <c r="I29" i="14"/>
  <c r="O48" i="47"/>
  <c r="Q29" i="43"/>
  <c r="P48" i="25"/>
  <c r="P53" i="25" s="1"/>
  <c r="Q37" i="43"/>
  <c r="P48" i="43" s="1"/>
  <c r="P53" i="43" s="1"/>
  <c r="V48" i="44"/>
  <c r="Q24" i="25"/>
  <c r="Q27" i="25" s="1"/>
  <c r="Q47" i="25" s="1"/>
  <c r="Q50" i="25" s="1"/>
  <c r="U48" i="25"/>
  <c r="U53" i="25" s="1"/>
  <c r="D48" i="46"/>
  <c r="B24" i="14"/>
  <c r="B27" i="14" s="1"/>
  <c r="B47" i="14" s="1"/>
  <c r="F35" i="14"/>
  <c r="R48" i="15"/>
  <c r="R53" i="15" s="1"/>
  <c r="R34" i="47"/>
  <c r="O24" i="15"/>
  <c r="O27" i="15" s="1"/>
  <c r="O47" i="15" s="1"/>
  <c r="O50" i="15" s="1"/>
  <c r="J24" i="15"/>
  <c r="J26" i="15" s="1"/>
  <c r="J27" i="15" s="1"/>
  <c r="J47" i="15" s="1"/>
  <c r="C50" i="18"/>
  <c r="C52" i="18"/>
  <c r="C51" i="18"/>
  <c r="S48" i="16"/>
  <c r="S53" i="16" s="1"/>
  <c r="R48" i="16"/>
  <c r="R53" i="16" s="1"/>
  <c r="Q48" i="16"/>
  <c r="Q53" i="16" s="1"/>
  <c r="O48" i="16"/>
  <c r="O53" i="16" s="1"/>
  <c r="N48" i="16"/>
  <c r="N53" i="16" s="1"/>
  <c r="M48" i="16"/>
  <c r="M53" i="16" s="1"/>
  <c r="H48" i="48"/>
  <c r="H53" i="48" s="1"/>
  <c r="G48" i="48"/>
  <c r="G53" i="48" s="1"/>
  <c r="F24" i="48"/>
  <c r="F27" i="48" s="1"/>
  <c r="F47" i="48" s="1"/>
  <c r="F50" i="48" s="1"/>
  <c r="J24" i="48"/>
  <c r="J27" i="48" s="1"/>
  <c r="J47" i="48" s="1"/>
  <c r="J29" i="48"/>
  <c r="J34" i="48" s="1"/>
  <c r="I48" i="48"/>
  <c r="I53" i="48" s="1"/>
  <c r="I51" i="48"/>
  <c r="G24" i="48"/>
  <c r="G27" i="48" s="1"/>
  <c r="G47" i="48" s="1"/>
  <c r="K24" i="48"/>
  <c r="K27" i="48" s="1"/>
  <c r="K47" i="48" s="1"/>
  <c r="H24" i="48"/>
  <c r="H27" i="48" s="1"/>
  <c r="H47" i="48" s="1"/>
  <c r="P34" i="47"/>
  <c r="M34" i="47"/>
  <c r="M51" i="47"/>
  <c r="Q34" i="47"/>
  <c r="N51" i="47"/>
  <c r="M52" i="47"/>
  <c r="M55" i="47"/>
  <c r="K24" i="15"/>
  <c r="L52" i="15"/>
  <c r="L55" i="15"/>
  <c r="L51" i="15"/>
  <c r="L17" i="15"/>
  <c r="S24" i="15"/>
  <c r="S27" i="15" s="1"/>
  <c r="S47" i="15" s="1"/>
  <c r="S50" i="15" s="1"/>
  <c r="N24" i="15"/>
  <c r="N27" i="15" s="1"/>
  <c r="N47" i="15" s="1"/>
  <c r="N50" i="15" s="1"/>
  <c r="R24" i="15"/>
  <c r="R27" i="15" s="1"/>
  <c r="R47" i="15" s="1"/>
  <c r="R50" i="15" s="1"/>
  <c r="R29" i="15"/>
  <c r="P37" i="15"/>
  <c r="N41" i="15"/>
  <c r="P24" i="15"/>
  <c r="P27" i="15" s="1"/>
  <c r="P47" i="15" s="1"/>
  <c r="P50" i="15" s="1"/>
  <c r="M27" i="15"/>
  <c r="M47" i="15" s="1"/>
  <c r="M50" i="15" s="1"/>
  <c r="Q24" i="15"/>
  <c r="Q27" i="15" s="1"/>
  <c r="Q47" i="15" s="1"/>
  <c r="Q50" i="15" s="1"/>
  <c r="F29" i="14"/>
  <c r="F24" i="14"/>
  <c r="F27" i="14" s="1"/>
  <c r="F47" i="14" s="1"/>
  <c r="C24" i="14"/>
  <c r="C27" i="14" s="1"/>
  <c r="C47" i="14" s="1"/>
  <c r="C55" i="14" s="1"/>
  <c r="K48" i="14"/>
  <c r="K53" i="14" s="1"/>
  <c r="D24" i="14"/>
  <c r="D27" i="14" s="1"/>
  <c r="D47" i="14" s="1"/>
  <c r="D52" i="14" s="1"/>
  <c r="E24" i="14"/>
  <c r="E27" i="14" s="1"/>
  <c r="E47" i="14" s="1"/>
  <c r="E50" i="14" s="1"/>
  <c r="I51" i="14"/>
  <c r="F17" i="14"/>
  <c r="J24" i="14"/>
  <c r="J27" i="14" s="1"/>
  <c r="J47" i="14" s="1"/>
  <c r="I37" i="14"/>
  <c r="I48" i="14" s="1"/>
  <c r="I53" i="14" s="1"/>
  <c r="K24" i="14"/>
  <c r="K27" i="14" s="1"/>
  <c r="K47" i="14" s="1"/>
  <c r="K55" i="14" s="1"/>
  <c r="F13" i="14"/>
  <c r="C29" i="14"/>
  <c r="G29" i="14"/>
  <c r="D36" i="14"/>
  <c r="C36" i="14" s="1"/>
  <c r="B36" i="14" s="1"/>
  <c r="B37" i="14" s="1"/>
  <c r="F46" i="14"/>
  <c r="F36" i="14"/>
  <c r="D53" i="46"/>
  <c r="F50" i="46"/>
  <c r="D51" i="46"/>
  <c r="C41" i="46"/>
  <c r="D52" i="46"/>
  <c r="D55" i="46"/>
  <c r="D24" i="46"/>
  <c r="D27" i="46" s="1"/>
  <c r="E17" i="46"/>
  <c r="C24" i="46"/>
  <c r="C27" i="46" s="1"/>
  <c r="C47" i="46" s="1"/>
  <c r="E24" i="46"/>
  <c r="E27" i="46" s="1"/>
  <c r="E47" i="46" s="1"/>
  <c r="E50" i="46" s="1"/>
  <c r="I24" i="46"/>
  <c r="I27" i="46" s="1"/>
  <c r="C46" i="46"/>
  <c r="M25" i="25"/>
  <c r="M27" i="25" s="1"/>
  <c r="M47" i="25" s="1"/>
  <c r="U52" i="25"/>
  <c r="N48" i="25"/>
  <c r="N53" i="25" s="1"/>
  <c r="P51" i="25"/>
  <c r="P52" i="25"/>
  <c r="P50" i="25"/>
  <c r="O48" i="25"/>
  <c r="O53" i="25" s="1"/>
  <c r="R24" i="25"/>
  <c r="R27" i="25" s="1"/>
  <c r="R47" i="25" s="1"/>
  <c r="S29" i="25"/>
  <c r="W29" i="25"/>
  <c r="T48" i="25"/>
  <c r="T53" i="25" s="1"/>
  <c r="O24" i="25"/>
  <c r="P29" i="25"/>
  <c r="T29" i="25"/>
  <c r="M46" i="25"/>
  <c r="M29" i="25"/>
  <c r="Q29" i="25"/>
  <c r="U29" i="25"/>
  <c r="N46" i="25"/>
  <c r="N24" i="25"/>
  <c r="P13" i="25"/>
  <c r="S29" i="44"/>
  <c r="S24" i="44"/>
  <c r="S27" i="44" s="1"/>
  <c r="S47" i="44" s="1"/>
  <c r="S55" i="44" s="1"/>
  <c r="N29" i="44"/>
  <c r="S17" i="44"/>
  <c r="N17" i="44"/>
  <c r="R24" i="44"/>
  <c r="R27" i="44" s="1"/>
  <c r="R47" i="44" s="1"/>
  <c r="R50" i="44" s="1"/>
  <c r="V24" i="44"/>
  <c r="V27" i="44" s="1"/>
  <c r="V47" i="44" s="1"/>
  <c r="U32" i="44"/>
  <c r="T32" i="44" s="1"/>
  <c r="U35" i="44"/>
  <c r="U36" i="44"/>
  <c r="T36" i="44" s="1"/>
  <c r="P46" i="44"/>
  <c r="T46" i="44"/>
  <c r="S13" i="44"/>
  <c r="M22" i="44"/>
  <c r="T24" i="44"/>
  <c r="T27" i="44" s="1"/>
  <c r="T47" i="44" s="1"/>
  <c r="T55" i="44" s="1"/>
  <c r="M35" i="44"/>
  <c r="Q40" i="44"/>
  <c r="N46" i="44"/>
  <c r="Q24" i="44"/>
  <c r="Q27" i="44" s="1"/>
  <c r="Q47" i="44" s="1"/>
  <c r="Q52" i="44" s="1"/>
  <c r="U24" i="44"/>
  <c r="U27" i="44" s="1"/>
  <c r="U47" i="44" s="1"/>
  <c r="P24" i="43"/>
  <c r="P27" i="43" s="1"/>
  <c r="P47" i="43" s="1"/>
  <c r="P50" i="43" s="1"/>
  <c r="Q53" i="43"/>
  <c r="O24" i="43"/>
  <c r="O27" i="43" s="1"/>
  <c r="O47" i="43" s="1"/>
  <c r="O55" i="43" s="1"/>
  <c r="S24" i="43"/>
  <c r="S27" i="43" s="1"/>
  <c r="S47" i="43" s="1"/>
  <c r="N52" i="43"/>
  <c r="N29" i="43"/>
  <c r="N34" i="43" s="1"/>
  <c r="R29" i="43"/>
  <c r="R51" i="43"/>
  <c r="W55" i="45"/>
  <c r="V55" i="45"/>
  <c r="U55" i="45"/>
  <c r="T47" i="45"/>
  <c r="S47" i="45"/>
  <c r="R47" i="45"/>
  <c r="R50" i="45" s="1"/>
  <c r="Q47" i="45"/>
  <c r="Q50" i="45" s="1"/>
  <c r="T46" i="45"/>
  <c r="S46" i="45"/>
  <c r="R46" i="45"/>
  <c r="Q46" i="45"/>
  <c r="P46" i="45"/>
  <c r="O46" i="45"/>
  <c r="N46" i="45"/>
  <c r="M46" i="45"/>
  <c r="R41" i="45"/>
  <c r="Q41" i="45"/>
  <c r="P41" i="45"/>
  <c r="N41" i="45"/>
  <c r="T40" i="45"/>
  <c r="T41" i="45" s="1"/>
  <c r="S40" i="45"/>
  <c r="S41" i="45" s="1"/>
  <c r="O40" i="45"/>
  <c r="O41" i="45" s="1"/>
  <c r="M41" i="45"/>
  <c r="W37" i="45"/>
  <c r="V37" i="45"/>
  <c r="U37" i="45"/>
  <c r="T37" i="45"/>
  <c r="S37" i="45"/>
  <c r="R37" i="45"/>
  <c r="O37" i="45"/>
  <c r="N37" i="45"/>
  <c r="M37" i="45"/>
  <c r="J48" i="45" s="1"/>
  <c r="J53" i="45" s="1"/>
  <c r="Q36" i="45"/>
  <c r="P36" i="45" s="1"/>
  <c r="Q35" i="45"/>
  <c r="Q32" i="45"/>
  <c r="P32" i="45" s="1"/>
  <c r="R31" i="45"/>
  <c r="Q31" i="45"/>
  <c r="N31" i="45"/>
  <c r="L31" i="45" s="1"/>
  <c r="R30" i="45"/>
  <c r="Q30" i="45"/>
  <c r="W29" i="45"/>
  <c r="V29" i="45"/>
  <c r="U29" i="45"/>
  <c r="T29" i="45"/>
  <c r="P25" i="45"/>
  <c r="O25" i="45" s="1"/>
  <c r="N25" i="45" s="1"/>
  <c r="M25" i="45" s="1"/>
  <c r="T24" i="45"/>
  <c r="T25" i="45" s="1"/>
  <c r="S22" i="45"/>
  <c r="S29" i="45" s="1"/>
  <c r="R22" i="45"/>
  <c r="R29" i="45" s="1"/>
  <c r="Q22" i="45"/>
  <c r="Q29" i="45" s="1"/>
  <c r="P22" i="45"/>
  <c r="P29" i="45" s="1"/>
  <c r="O22" i="45"/>
  <c r="N22" i="45"/>
  <c r="N29" i="45" s="1"/>
  <c r="M22" i="45"/>
  <c r="W21" i="45"/>
  <c r="V21" i="45"/>
  <c r="U21" i="45"/>
  <c r="T21" i="45"/>
  <c r="W17" i="45"/>
  <c r="V17" i="45"/>
  <c r="U17" i="45"/>
  <c r="T17" i="45"/>
  <c r="S17" i="45"/>
  <c r="R17" i="45"/>
  <c r="Q17" i="45"/>
  <c r="P17" i="45"/>
  <c r="O17" i="45"/>
  <c r="N17" i="45"/>
  <c r="M17" i="45"/>
  <c r="S13" i="45"/>
  <c r="R13" i="45"/>
  <c r="Q13" i="45"/>
  <c r="P13" i="45"/>
  <c r="O13" i="45"/>
  <c r="N13" i="45"/>
  <c r="M13" i="45"/>
  <c r="T55" i="13"/>
  <c r="S55" i="13"/>
  <c r="R55" i="13"/>
  <c r="Q55" i="13"/>
  <c r="P55" i="13"/>
  <c r="O55" i="13"/>
  <c r="N55" i="13"/>
  <c r="M55" i="13"/>
  <c r="S53" i="13"/>
  <c r="R53" i="13"/>
  <c r="Q53" i="13"/>
  <c r="S47" i="13"/>
  <c r="S52" i="13" s="1"/>
  <c r="R47" i="13"/>
  <c r="R52" i="13" s="1"/>
  <c r="Q47" i="13"/>
  <c r="Q51" i="13" s="1"/>
  <c r="P47" i="13"/>
  <c r="P50" i="13" s="1"/>
  <c r="O47" i="13"/>
  <c r="O52" i="13" s="1"/>
  <c r="N47" i="13"/>
  <c r="M47" i="13"/>
  <c r="M51" i="13" s="1"/>
  <c r="Q46" i="13"/>
  <c r="N40" i="13"/>
  <c r="N41" i="13" s="1"/>
  <c r="S37" i="13"/>
  <c r="R37" i="13"/>
  <c r="Q37" i="13"/>
  <c r="P37" i="13"/>
  <c r="O37" i="13"/>
  <c r="N37" i="13"/>
  <c r="M37" i="13"/>
  <c r="S33" i="13"/>
  <c r="R33" i="13"/>
  <c r="P33" i="13"/>
  <c r="N33" i="13"/>
  <c r="Q29" i="13"/>
  <c r="O29" i="13"/>
  <c r="N29" i="13"/>
  <c r="M29" i="13"/>
  <c r="S22" i="13"/>
  <c r="R22" i="13"/>
  <c r="R29" i="13" s="1"/>
  <c r="R34" i="13" s="1"/>
  <c r="Q21" i="13"/>
  <c r="Q33" i="13" s="1"/>
  <c r="S17" i="13"/>
  <c r="R17" i="13"/>
  <c r="Q17" i="13"/>
  <c r="N16" i="13"/>
  <c r="N17" i="13" s="1"/>
  <c r="O13" i="13"/>
  <c r="N13" i="13"/>
  <c r="M13" i="13"/>
  <c r="P46" i="13"/>
  <c r="R10" i="13"/>
  <c r="S10" i="13" s="1"/>
  <c r="T10" i="13" s="1"/>
  <c r="X55" i="12"/>
  <c r="W55" i="12"/>
  <c r="V55" i="12"/>
  <c r="U55" i="12"/>
  <c r="Q50" i="12"/>
  <c r="P50" i="12"/>
  <c r="O50" i="12"/>
  <c r="N50" i="12"/>
  <c r="M50" i="12"/>
  <c r="T46" i="12"/>
  <c r="S46" i="12"/>
  <c r="R46" i="12"/>
  <c r="Q41" i="12"/>
  <c r="Q55" i="12" s="1"/>
  <c r="P41" i="12"/>
  <c r="P55" i="12" s="1"/>
  <c r="O41" i="12"/>
  <c r="O55" i="12" s="1"/>
  <c r="N41" i="12"/>
  <c r="N55" i="12" s="1"/>
  <c r="M41" i="12"/>
  <c r="M55" i="12" s="1"/>
  <c r="W37" i="12"/>
  <c r="V37" i="12"/>
  <c r="U37" i="12"/>
  <c r="T37" i="12"/>
  <c r="S37" i="12"/>
  <c r="R37" i="12"/>
  <c r="Q37" i="12"/>
  <c r="P37" i="12"/>
  <c r="O37" i="12"/>
  <c r="N37" i="12"/>
  <c r="M37" i="12"/>
  <c r="W22" i="12"/>
  <c r="W29" i="12" s="1"/>
  <c r="V22" i="12"/>
  <c r="V29" i="12" s="1"/>
  <c r="U22" i="12"/>
  <c r="T22" i="12"/>
  <c r="T29" i="12" s="1"/>
  <c r="S22" i="12"/>
  <c r="S29" i="12" s="1"/>
  <c r="R22" i="12"/>
  <c r="R29" i="12" s="1"/>
  <c r="Q22" i="12"/>
  <c r="P22" i="12"/>
  <c r="P29" i="12" s="1"/>
  <c r="O22" i="12"/>
  <c r="O29" i="12" s="1"/>
  <c r="N22" i="12"/>
  <c r="N29" i="12" s="1"/>
  <c r="M22" i="12"/>
  <c r="W17" i="12"/>
  <c r="V17" i="12"/>
  <c r="U17" i="12"/>
  <c r="T17" i="12"/>
  <c r="S17" i="12"/>
  <c r="R17" i="12"/>
  <c r="Q17" i="12"/>
  <c r="P17" i="12"/>
  <c r="O17" i="12"/>
  <c r="N17" i="12"/>
  <c r="M17" i="12"/>
  <c r="S13" i="12"/>
  <c r="R13" i="12"/>
  <c r="Q13" i="12"/>
  <c r="P13" i="12"/>
  <c r="O13" i="12"/>
  <c r="N13" i="12"/>
  <c r="M13" i="12"/>
  <c r="R10" i="12"/>
  <c r="S10" i="12" s="1"/>
  <c r="T10" i="12" s="1"/>
  <c r="U10" i="12" s="1"/>
  <c r="V10" i="12" s="1"/>
  <c r="W10" i="12" s="1"/>
  <c r="X10" i="12" s="1"/>
  <c r="N55" i="42"/>
  <c r="M55" i="42"/>
  <c r="L55" i="42"/>
  <c r="K55" i="42"/>
  <c r="J55" i="42"/>
  <c r="I55" i="42"/>
  <c r="H55" i="42"/>
  <c r="G55" i="42"/>
  <c r="F55" i="42"/>
  <c r="J46" i="42"/>
  <c r="I46" i="42"/>
  <c r="H46" i="42"/>
  <c r="G46" i="42"/>
  <c r="F46" i="42"/>
  <c r="E42" i="42"/>
  <c r="D42" i="42"/>
  <c r="C42" i="42"/>
  <c r="J40" i="42"/>
  <c r="J41" i="42" s="1"/>
  <c r="I40" i="42"/>
  <c r="I41" i="42" s="1"/>
  <c r="H40" i="42"/>
  <c r="H41" i="42" s="1"/>
  <c r="G40" i="42"/>
  <c r="G41" i="42" s="1"/>
  <c r="F40" i="42"/>
  <c r="F41" i="42" s="1"/>
  <c r="E40" i="42"/>
  <c r="E41" i="42" s="1"/>
  <c r="D40" i="42"/>
  <c r="D41" i="42" s="1"/>
  <c r="B40" i="42"/>
  <c r="B41" i="42" s="1"/>
  <c r="L37" i="42"/>
  <c r="H37" i="42"/>
  <c r="D37" i="42"/>
  <c r="M36" i="42"/>
  <c r="K36" i="42"/>
  <c r="J36" i="42" s="1"/>
  <c r="I36" i="42" s="1"/>
  <c r="G36" i="42"/>
  <c r="F36" i="42" s="1"/>
  <c r="C36" i="42"/>
  <c r="B36" i="42" s="1"/>
  <c r="M35" i="42"/>
  <c r="K35" i="42"/>
  <c r="J35" i="42" s="1"/>
  <c r="G35" i="42"/>
  <c r="C35" i="42"/>
  <c r="C37" i="42" s="1"/>
  <c r="P32" i="42"/>
  <c r="H32" i="42"/>
  <c r="G32" i="42" s="1"/>
  <c r="F32" i="42" s="1"/>
  <c r="D32" i="42"/>
  <c r="C32" i="42" s="1"/>
  <c r="B32" i="42" s="1"/>
  <c r="P31" i="42"/>
  <c r="H31" i="42"/>
  <c r="G31" i="42" s="1"/>
  <c r="F31" i="42" s="1"/>
  <c r="D31" i="42"/>
  <c r="C31" i="42" s="1"/>
  <c r="B31" i="42" s="1"/>
  <c r="P30" i="42"/>
  <c r="G30" i="42"/>
  <c r="F30" i="42" s="1"/>
  <c r="C30" i="42"/>
  <c r="B30" i="42" s="1"/>
  <c r="I29" i="42"/>
  <c r="H29" i="42"/>
  <c r="G29" i="42"/>
  <c r="F29" i="42"/>
  <c r="E29" i="42"/>
  <c r="D29" i="42"/>
  <c r="C29" i="42"/>
  <c r="B29" i="42"/>
  <c r="E27" i="42"/>
  <c r="E47" i="42" s="1"/>
  <c r="D27" i="42"/>
  <c r="D47" i="42" s="1"/>
  <c r="D50" i="42" s="1"/>
  <c r="F24" i="42"/>
  <c r="F27" i="42" s="1"/>
  <c r="F47" i="42" s="1"/>
  <c r="C24" i="42"/>
  <c r="C27" i="42" s="1"/>
  <c r="C47" i="42" s="1"/>
  <c r="B24" i="42"/>
  <c r="B27" i="42" s="1"/>
  <c r="B47" i="42" s="1"/>
  <c r="M22" i="42"/>
  <c r="M29" i="42" s="1"/>
  <c r="L22" i="42"/>
  <c r="L29" i="42" s="1"/>
  <c r="K22" i="42"/>
  <c r="K29" i="42" s="1"/>
  <c r="J22" i="42"/>
  <c r="J29" i="42" s="1"/>
  <c r="I21" i="42"/>
  <c r="I16" i="42" s="1"/>
  <c r="I17" i="42" s="1"/>
  <c r="H21" i="42"/>
  <c r="H33" i="42" s="1"/>
  <c r="G21" i="42"/>
  <c r="G33" i="42" s="1"/>
  <c r="F21" i="42"/>
  <c r="F33" i="42" s="1"/>
  <c r="E21" i="42"/>
  <c r="E16" i="42" s="1"/>
  <c r="D21" i="42"/>
  <c r="D33" i="42" s="1"/>
  <c r="C21" i="42"/>
  <c r="C33" i="42" s="1"/>
  <c r="B21" i="42"/>
  <c r="B33" i="42" s="1"/>
  <c r="M17" i="42"/>
  <c r="L17" i="42"/>
  <c r="K17" i="42"/>
  <c r="J17" i="42"/>
  <c r="I13" i="42"/>
  <c r="H13" i="42"/>
  <c r="G13" i="42"/>
  <c r="F13" i="42"/>
  <c r="D13" i="42"/>
  <c r="C13" i="42"/>
  <c r="B13" i="42"/>
  <c r="E12" i="42"/>
  <c r="E46" i="42" s="1"/>
  <c r="P55" i="26"/>
  <c r="O55" i="26"/>
  <c r="N55" i="26"/>
  <c r="H46" i="26"/>
  <c r="G46" i="26"/>
  <c r="F46" i="26"/>
  <c r="H42" i="26"/>
  <c r="L37" i="26"/>
  <c r="K37" i="26"/>
  <c r="J37" i="26"/>
  <c r="I37" i="26"/>
  <c r="H37" i="26"/>
  <c r="G37" i="26"/>
  <c r="F37" i="26"/>
  <c r="L22" i="26"/>
  <c r="L29" i="26" s="1"/>
  <c r="L34" i="26" s="1"/>
  <c r="K22" i="26"/>
  <c r="K29" i="26" s="1"/>
  <c r="K34" i="26" s="1"/>
  <c r="J22" i="26"/>
  <c r="J29" i="26" s="1"/>
  <c r="J34" i="26" s="1"/>
  <c r="I22" i="26"/>
  <c r="I29" i="26" s="1"/>
  <c r="I34" i="26" s="1"/>
  <c r="H22" i="26"/>
  <c r="G22" i="26"/>
  <c r="F22" i="26"/>
  <c r="L17" i="26"/>
  <c r="K17" i="26"/>
  <c r="J17" i="26"/>
  <c r="I17" i="26"/>
  <c r="H17" i="26"/>
  <c r="G17" i="26"/>
  <c r="F17" i="26"/>
  <c r="H13" i="26"/>
  <c r="G13" i="26"/>
  <c r="F13" i="26"/>
  <c r="J10" i="26"/>
  <c r="K10" i="26" s="1"/>
  <c r="L10" i="26" s="1"/>
  <c r="M10" i="26" s="1"/>
  <c r="N10" i="26" s="1"/>
  <c r="O10" i="26" s="1"/>
  <c r="P10" i="26" s="1"/>
  <c r="X55" i="40"/>
  <c r="W55" i="40"/>
  <c r="V55" i="40"/>
  <c r="U55" i="40"/>
  <c r="T55" i="40"/>
  <c r="S55" i="40"/>
  <c r="R55" i="40"/>
  <c r="Q55" i="40"/>
  <c r="P55" i="40"/>
  <c r="O55" i="40"/>
  <c r="N55" i="40"/>
  <c r="M55" i="40"/>
  <c r="L55" i="40"/>
  <c r="U46" i="40"/>
  <c r="T46" i="40"/>
  <c r="S46" i="40"/>
  <c r="R46" i="40"/>
  <c r="Q46" i="40"/>
  <c r="P46" i="40"/>
  <c r="O46" i="40"/>
  <c r="N46" i="40"/>
  <c r="M46" i="40"/>
  <c r="L46" i="40"/>
  <c r="U41" i="40"/>
  <c r="T41" i="40"/>
  <c r="S41" i="40"/>
  <c r="R41" i="40"/>
  <c r="Q41" i="40"/>
  <c r="P41" i="40"/>
  <c r="O41" i="40"/>
  <c r="N40" i="40"/>
  <c r="N41" i="40" s="1"/>
  <c r="M40" i="40"/>
  <c r="M41" i="40" s="1"/>
  <c r="L40" i="40"/>
  <c r="L41" i="40" s="1"/>
  <c r="X37" i="40"/>
  <c r="W37" i="40"/>
  <c r="V37" i="40"/>
  <c r="U37" i="40"/>
  <c r="T37" i="40"/>
  <c r="S37" i="40"/>
  <c r="R37" i="40"/>
  <c r="Q37" i="40"/>
  <c r="P37" i="40"/>
  <c r="O37" i="40"/>
  <c r="N37" i="40"/>
  <c r="M37" i="40"/>
  <c r="L37" i="40"/>
  <c r="X22" i="40"/>
  <c r="X29" i="40" s="1"/>
  <c r="X34" i="40" s="1"/>
  <c r="W22" i="40"/>
  <c r="W29" i="40" s="1"/>
  <c r="W34" i="40" s="1"/>
  <c r="V22" i="40"/>
  <c r="V29" i="40" s="1"/>
  <c r="V34" i="40" s="1"/>
  <c r="U22" i="40"/>
  <c r="U29" i="40" s="1"/>
  <c r="U34" i="40" s="1"/>
  <c r="T22" i="40"/>
  <c r="S22" i="40"/>
  <c r="S29" i="40" s="1"/>
  <c r="S34" i="40" s="1"/>
  <c r="R22" i="40"/>
  <c r="R29" i="40" s="1"/>
  <c r="R34" i="40" s="1"/>
  <c r="Q22" i="40"/>
  <c r="Q29" i="40" s="1"/>
  <c r="Q34" i="40" s="1"/>
  <c r="P22" i="40"/>
  <c r="O22" i="40"/>
  <c r="O29" i="40" s="1"/>
  <c r="N22" i="40"/>
  <c r="N29" i="40" s="1"/>
  <c r="M22" i="40"/>
  <c r="M29" i="40" s="1"/>
  <c r="L22" i="40"/>
  <c r="I24" i="40" s="1"/>
  <c r="I25" i="40" s="1"/>
  <c r="I27" i="40" s="1"/>
  <c r="I47" i="40" s="1"/>
  <c r="X17" i="40"/>
  <c r="W17" i="40"/>
  <c r="V17" i="40"/>
  <c r="U17" i="40"/>
  <c r="T17" i="40"/>
  <c r="S17" i="40"/>
  <c r="R17" i="40"/>
  <c r="Q17" i="40"/>
  <c r="P17" i="40"/>
  <c r="O17" i="40"/>
  <c r="N17" i="40"/>
  <c r="M17" i="40"/>
  <c r="L17" i="40"/>
  <c r="T13" i="40"/>
  <c r="S13" i="40"/>
  <c r="R13" i="40"/>
  <c r="Q13" i="40"/>
  <c r="P13" i="40"/>
  <c r="O13" i="40"/>
  <c r="N13" i="40"/>
  <c r="M13" i="40"/>
  <c r="L13" i="40"/>
  <c r="P55" i="10"/>
  <c r="O55" i="10"/>
  <c r="N55" i="10"/>
  <c r="M55" i="10"/>
  <c r="L55" i="10"/>
  <c r="K55" i="10"/>
  <c r="J55" i="10"/>
  <c r="I55" i="10"/>
  <c r="E55" i="10"/>
  <c r="D55" i="10"/>
  <c r="C55" i="10"/>
  <c r="B55" i="10"/>
  <c r="E52" i="10"/>
  <c r="E51" i="10"/>
  <c r="I50" i="10"/>
  <c r="E48" i="10"/>
  <c r="E53" i="10" s="1"/>
  <c r="M46" i="10"/>
  <c r="L46" i="10"/>
  <c r="K46" i="10"/>
  <c r="J46" i="10"/>
  <c r="M41" i="10"/>
  <c r="L41" i="10"/>
  <c r="K41" i="10"/>
  <c r="J41" i="10"/>
  <c r="I41" i="10"/>
  <c r="I53" i="10" s="1"/>
  <c r="E40" i="10"/>
  <c r="E50" i="10" s="1"/>
  <c r="D40" i="10"/>
  <c r="D41" i="10" s="1"/>
  <c r="C40" i="10"/>
  <c r="C41" i="10" s="1"/>
  <c r="B40" i="10"/>
  <c r="B41" i="10" s="1"/>
  <c r="P37" i="10"/>
  <c r="O37" i="10"/>
  <c r="N37" i="10"/>
  <c r="M37" i="10"/>
  <c r="L37" i="10"/>
  <c r="K37" i="10"/>
  <c r="J37" i="10"/>
  <c r="I37" i="10"/>
  <c r="H37" i="10"/>
  <c r="G36" i="10"/>
  <c r="F36" i="10" s="1"/>
  <c r="D36" i="10"/>
  <c r="C36" i="10" s="1"/>
  <c r="B36" i="10" s="1"/>
  <c r="G35" i="10"/>
  <c r="F35" i="10" s="1"/>
  <c r="D35" i="10"/>
  <c r="C35" i="10" s="1"/>
  <c r="H32" i="10"/>
  <c r="G32" i="10"/>
  <c r="F32" i="10" s="1"/>
  <c r="D32" i="10"/>
  <c r="C32" i="10" s="1"/>
  <c r="B32" i="10" s="1"/>
  <c r="P31" i="10"/>
  <c r="O31" i="10"/>
  <c r="N31" i="10"/>
  <c r="M31" i="10"/>
  <c r="L31" i="10"/>
  <c r="K31" i="10"/>
  <c r="J31" i="10"/>
  <c r="I31" i="10"/>
  <c r="G31" i="10"/>
  <c r="F31" i="10" s="1"/>
  <c r="C31" i="10"/>
  <c r="B31" i="10"/>
  <c r="G30" i="10"/>
  <c r="F30" i="10" s="1"/>
  <c r="D30" i="10"/>
  <c r="C30" i="10" s="1"/>
  <c r="B30" i="10" s="1"/>
  <c r="E26" i="10"/>
  <c r="D26" i="10"/>
  <c r="C26" i="10"/>
  <c r="B26" i="10"/>
  <c r="P22" i="10"/>
  <c r="P29" i="10" s="1"/>
  <c r="O22" i="10"/>
  <c r="O29" i="10" s="1"/>
  <c r="N22" i="10"/>
  <c r="N29" i="10" s="1"/>
  <c r="M22" i="10"/>
  <c r="M29" i="10" s="1"/>
  <c r="L22" i="10"/>
  <c r="L29" i="10" s="1"/>
  <c r="K22" i="10"/>
  <c r="K29" i="10" s="1"/>
  <c r="J22" i="10"/>
  <c r="J29" i="10" s="1"/>
  <c r="I22" i="10"/>
  <c r="I29" i="10" s="1"/>
  <c r="G22" i="10"/>
  <c r="G29" i="10" s="1"/>
  <c r="F22" i="10"/>
  <c r="F29" i="10" s="1"/>
  <c r="E22" i="10"/>
  <c r="E29" i="10" s="1"/>
  <c r="D22" i="10"/>
  <c r="D29" i="10" s="1"/>
  <c r="C22" i="10"/>
  <c r="C29" i="10" s="1"/>
  <c r="B22" i="10"/>
  <c r="B29" i="10" s="1"/>
  <c r="P17" i="10"/>
  <c r="O17" i="10"/>
  <c r="N17" i="10"/>
  <c r="M17" i="10"/>
  <c r="L17" i="10"/>
  <c r="K17" i="10"/>
  <c r="J17" i="10"/>
  <c r="I17" i="10"/>
  <c r="G17" i="10"/>
  <c r="F17" i="10"/>
  <c r="C17" i="10"/>
  <c r="B17" i="10"/>
  <c r="H16" i="10"/>
  <c r="H22" i="10" s="1"/>
  <c r="L13" i="10"/>
  <c r="K13" i="10"/>
  <c r="J13" i="10"/>
  <c r="I13" i="10"/>
  <c r="H13" i="10"/>
  <c r="G13" i="10"/>
  <c r="F13" i="10"/>
  <c r="C13" i="10"/>
  <c r="B13" i="10"/>
  <c r="D12" i="10"/>
  <c r="D17" i="10" s="1"/>
  <c r="X55" i="39"/>
  <c r="W55" i="39"/>
  <c r="V55" i="39"/>
  <c r="P46" i="39"/>
  <c r="O46" i="39"/>
  <c r="N46" i="39"/>
  <c r="M46" i="39"/>
  <c r="Q41" i="39"/>
  <c r="U40" i="39"/>
  <c r="U41" i="39" s="1"/>
  <c r="T40" i="39"/>
  <c r="T41" i="39" s="1"/>
  <c r="S40" i="39"/>
  <c r="S41" i="39" s="1"/>
  <c r="R40" i="39"/>
  <c r="R41" i="39" s="1"/>
  <c r="P40" i="39"/>
  <c r="P41" i="39" s="1"/>
  <c r="O40" i="39"/>
  <c r="O41" i="39" s="1"/>
  <c r="N40" i="39"/>
  <c r="N41" i="39" s="1"/>
  <c r="M40" i="39"/>
  <c r="M41" i="39" s="1"/>
  <c r="W37" i="39"/>
  <c r="S37" i="39"/>
  <c r="O37" i="39"/>
  <c r="N37" i="39"/>
  <c r="M37" i="39"/>
  <c r="L37" i="39"/>
  <c r="I48" i="39" s="1"/>
  <c r="I53" i="39" s="1"/>
  <c r="V36" i="39"/>
  <c r="R36" i="39"/>
  <c r="Q36" i="39" s="1"/>
  <c r="V35" i="39"/>
  <c r="R35" i="39"/>
  <c r="P33" i="39"/>
  <c r="O33" i="39"/>
  <c r="N33" i="39"/>
  <c r="M33" i="39"/>
  <c r="W32" i="39"/>
  <c r="V32" i="39" s="1"/>
  <c r="S32" i="39"/>
  <c r="R32" i="39" s="1"/>
  <c r="O32" i="39"/>
  <c r="N32" i="39" s="1"/>
  <c r="W31" i="39"/>
  <c r="S31" i="39"/>
  <c r="R31" i="39" s="1"/>
  <c r="W30" i="39"/>
  <c r="S30" i="39"/>
  <c r="R30" i="39" s="1"/>
  <c r="P29" i="39"/>
  <c r="O29" i="39"/>
  <c r="M27" i="39"/>
  <c r="M47" i="39" s="1"/>
  <c r="L27" i="39"/>
  <c r="L47" i="39" s="1"/>
  <c r="M29" i="39"/>
  <c r="L29" i="39"/>
  <c r="X21" i="39"/>
  <c r="X33" i="39" s="1"/>
  <c r="W21" i="39"/>
  <c r="V21" i="39"/>
  <c r="V33" i="39" s="1"/>
  <c r="U21" i="39"/>
  <c r="U33" i="39" s="1"/>
  <c r="S21" i="39"/>
  <c r="R21" i="39"/>
  <c r="R33" i="39" s="1"/>
  <c r="Q21" i="39"/>
  <c r="Q33" i="39" s="1"/>
  <c r="S19" i="39"/>
  <c r="Q17" i="39"/>
  <c r="O17" i="39"/>
  <c r="N17" i="39"/>
  <c r="M17" i="39"/>
  <c r="X16" i="39"/>
  <c r="W16" i="39"/>
  <c r="W17" i="39" s="1"/>
  <c r="V16" i="39"/>
  <c r="U16" i="39"/>
  <c r="S16" i="39"/>
  <c r="R16" i="39"/>
  <c r="P16" i="39"/>
  <c r="P17" i="39" s="1"/>
  <c r="S13" i="39"/>
  <c r="R13" i="39"/>
  <c r="Q13" i="39"/>
  <c r="O13" i="39"/>
  <c r="N13" i="39"/>
  <c r="M13" i="39"/>
  <c r="X12" i="39"/>
  <c r="U46" i="39" s="1"/>
  <c r="T12" i="39"/>
  <c r="R46" i="39" s="1"/>
  <c r="C57" i="2"/>
  <c r="S51" i="25" l="1"/>
  <c r="T50" i="25"/>
  <c r="T52" i="25"/>
  <c r="L22" i="44"/>
  <c r="M53" i="47"/>
  <c r="K48" i="47"/>
  <c r="F16" i="42"/>
  <c r="F17" i="42" s="1"/>
  <c r="E17" i="42"/>
  <c r="E55" i="24"/>
  <c r="D42" i="24"/>
  <c r="R52" i="44"/>
  <c r="S48" i="12"/>
  <c r="S53" i="12" s="1"/>
  <c r="F37" i="10"/>
  <c r="B50" i="46"/>
  <c r="P21" i="44"/>
  <c r="N52" i="12"/>
  <c r="S51" i="44"/>
  <c r="F55" i="46"/>
  <c r="F52" i="46"/>
  <c r="Q37" i="44"/>
  <c r="P35" i="44"/>
  <c r="P48" i="13"/>
  <c r="P53" i="13" s="1"/>
  <c r="M29" i="45"/>
  <c r="J24" i="45"/>
  <c r="J25" i="45" s="1"/>
  <c r="K24" i="45"/>
  <c r="O48" i="43"/>
  <c r="O53" i="43" s="1"/>
  <c r="K48" i="10"/>
  <c r="K53" i="10" s="1"/>
  <c r="N48" i="43"/>
  <c r="N53" i="43" s="1"/>
  <c r="L48" i="10"/>
  <c r="I52" i="40"/>
  <c r="I50" i="40"/>
  <c r="I51" i="40"/>
  <c r="M37" i="44"/>
  <c r="L35" i="44"/>
  <c r="L37" i="44" s="1"/>
  <c r="H55" i="14"/>
  <c r="G48" i="14"/>
  <c r="G53" i="14" s="1"/>
  <c r="E50" i="48"/>
  <c r="E52" i="48"/>
  <c r="E51" i="48"/>
  <c r="K42" i="25"/>
  <c r="L55" i="25"/>
  <c r="V22" i="39"/>
  <c r="V29" i="39" s="1"/>
  <c r="R55" i="45"/>
  <c r="I24" i="44"/>
  <c r="I27" i="44" s="1"/>
  <c r="I47" i="44" s="1"/>
  <c r="J24" i="44"/>
  <c r="J27" i="44" s="1"/>
  <c r="J47" i="44" s="1"/>
  <c r="K24" i="44"/>
  <c r="K27" i="44" s="1"/>
  <c r="K47" i="44" s="1"/>
  <c r="L16" i="44"/>
  <c r="L17" i="44" s="1"/>
  <c r="L24" i="44"/>
  <c r="L27" i="44" s="1"/>
  <c r="L47" i="44" s="1"/>
  <c r="L29" i="44"/>
  <c r="U51" i="25"/>
  <c r="F48" i="48"/>
  <c r="F53" i="48" s="1"/>
  <c r="E48" i="48"/>
  <c r="E53" i="48" s="1"/>
  <c r="C48" i="48"/>
  <c r="C53" i="48" s="1"/>
  <c r="D48" i="48"/>
  <c r="D53" i="48" s="1"/>
  <c r="C52" i="48"/>
  <c r="C51" i="48"/>
  <c r="C50" i="48"/>
  <c r="D16" i="42"/>
  <c r="D17" i="42" s="1"/>
  <c r="N48" i="12"/>
  <c r="N53" i="12" s="1"/>
  <c r="H52" i="14"/>
  <c r="D50" i="48"/>
  <c r="D51" i="48"/>
  <c r="D52" i="48"/>
  <c r="J48" i="47"/>
  <c r="K53" i="47"/>
  <c r="H48" i="19"/>
  <c r="I53" i="19"/>
  <c r="J48" i="39"/>
  <c r="J53" i="39" s="1"/>
  <c r="K48" i="45"/>
  <c r="K53" i="45" s="1"/>
  <c r="J53" i="12"/>
  <c r="K53" i="12"/>
  <c r="O51" i="43"/>
  <c r="R55" i="43"/>
  <c r="R52" i="43"/>
  <c r="K55" i="43"/>
  <c r="K50" i="43"/>
  <c r="K52" i="43"/>
  <c r="K51" i="43"/>
  <c r="J50" i="43"/>
  <c r="J51" i="43"/>
  <c r="J52" i="43"/>
  <c r="J55" i="43"/>
  <c r="N50" i="13"/>
  <c r="N34" i="13"/>
  <c r="K48" i="13"/>
  <c r="K53" i="13" s="1"/>
  <c r="J48" i="13"/>
  <c r="J53" i="13" s="1"/>
  <c r="S50" i="13"/>
  <c r="C48" i="26"/>
  <c r="C53" i="26" s="1"/>
  <c r="D48" i="26"/>
  <c r="D53" i="26" s="1"/>
  <c r="E48" i="26"/>
  <c r="E53" i="26" s="1"/>
  <c r="F29" i="26"/>
  <c r="F34" i="26" s="1"/>
  <c r="C24" i="26"/>
  <c r="C27" i="26" s="1"/>
  <c r="C47" i="26" s="1"/>
  <c r="J48" i="40"/>
  <c r="J53" i="40" s="1"/>
  <c r="I48" i="40"/>
  <c r="I53" i="40" s="1"/>
  <c r="J48" i="15"/>
  <c r="J53" i="15" s="1"/>
  <c r="I48" i="15"/>
  <c r="I53" i="15" s="1"/>
  <c r="L48" i="15"/>
  <c r="L53" i="15" s="1"/>
  <c r="L52" i="25"/>
  <c r="L51" i="25"/>
  <c r="L50" i="25"/>
  <c r="K25" i="25"/>
  <c r="K27" i="25" s="1"/>
  <c r="K47" i="25" s="1"/>
  <c r="L48" i="45"/>
  <c r="L53" i="45" s="1"/>
  <c r="G29" i="26"/>
  <c r="G34" i="26" s="1"/>
  <c r="D24" i="26"/>
  <c r="D27" i="26" s="1"/>
  <c r="D47" i="26" s="1"/>
  <c r="E24" i="26"/>
  <c r="E27" i="26" s="1"/>
  <c r="E47" i="26" s="1"/>
  <c r="R48" i="40"/>
  <c r="R53" i="40" s="1"/>
  <c r="J24" i="40"/>
  <c r="J25" i="40" s="1"/>
  <c r="J27" i="40" s="1"/>
  <c r="J47" i="40" s="1"/>
  <c r="K48" i="15"/>
  <c r="K53" i="15" s="1"/>
  <c r="O29" i="45"/>
  <c r="L24" i="45"/>
  <c r="P51" i="43"/>
  <c r="L51" i="43"/>
  <c r="L55" i="43"/>
  <c r="L52" i="43"/>
  <c r="L50" i="43"/>
  <c r="M37" i="43"/>
  <c r="M48" i="43" s="1"/>
  <c r="L37" i="43"/>
  <c r="I48" i="43" s="1"/>
  <c r="I53" i="43" s="1"/>
  <c r="R37" i="39"/>
  <c r="V37" i="39"/>
  <c r="S33" i="39"/>
  <c r="U35" i="39"/>
  <c r="T35" i="39" s="1"/>
  <c r="U32" i="39"/>
  <c r="T32" i="39" s="1"/>
  <c r="K48" i="39"/>
  <c r="K53" i="39" s="1"/>
  <c r="S22" i="39"/>
  <c r="S29" i="39" s="1"/>
  <c r="M50" i="39"/>
  <c r="U36" i="39"/>
  <c r="T36" i="39" s="1"/>
  <c r="L13" i="39"/>
  <c r="O50" i="13"/>
  <c r="R50" i="13"/>
  <c r="S51" i="13"/>
  <c r="O48" i="13"/>
  <c r="O53" i="13" s="1"/>
  <c r="L48" i="13"/>
  <c r="L53" i="13" s="1"/>
  <c r="S48" i="40"/>
  <c r="S53" i="40" s="1"/>
  <c r="K48" i="40"/>
  <c r="K53" i="40" s="1"/>
  <c r="L29" i="40"/>
  <c r="L34" i="40" s="1"/>
  <c r="K24" i="40"/>
  <c r="Q48" i="40"/>
  <c r="Q53" i="40" s="1"/>
  <c r="L17" i="39"/>
  <c r="K46" i="39"/>
  <c r="G55" i="14"/>
  <c r="G55" i="46"/>
  <c r="G50" i="46"/>
  <c r="O51" i="15"/>
  <c r="O52" i="15"/>
  <c r="L53" i="10"/>
  <c r="Q52" i="43"/>
  <c r="G52" i="46"/>
  <c r="L29" i="16"/>
  <c r="L24" i="16"/>
  <c r="L27" i="16" s="1"/>
  <c r="L47" i="16" s="1"/>
  <c r="X22" i="39"/>
  <c r="X29" i="39" s="1"/>
  <c r="X34" i="39" s="1"/>
  <c r="Q32" i="39"/>
  <c r="P32" i="39" s="1"/>
  <c r="P36" i="39"/>
  <c r="M48" i="10"/>
  <c r="M53" i="10" s="1"/>
  <c r="F50" i="42"/>
  <c r="S24" i="45"/>
  <c r="S25" i="45" s="1"/>
  <c r="R48" i="45"/>
  <c r="R53" i="45" s="1"/>
  <c r="Q51" i="43"/>
  <c r="C50" i="46"/>
  <c r="H48" i="14"/>
  <c r="H53" i="14" s="1"/>
  <c r="G51" i="14"/>
  <c r="E55" i="42"/>
  <c r="K22" i="16"/>
  <c r="H24" i="16" s="1"/>
  <c r="H27" i="16" s="1"/>
  <c r="H47" i="16" s="1"/>
  <c r="K17" i="16"/>
  <c r="G37" i="42"/>
  <c r="P31" i="45"/>
  <c r="N51" i="43"/>
  <c r="Q52" i="25"/>
  <c r="G50" i="14"/>
  <c r="M48" i="40"/>
  <c r="M53" i="40" s="1"/>
  <c r="U48" i="40"/>
  <c r="U53" i="40" s="1"/>
  <c r="G48" i="26"/>
  <c r="G53" i="26" s="1"/>
  <c r="T50" i="45"/>
  <c r="N55" i="43"/>
  <c r="S50" i="25"/>
  <c r="B55" i="46"/>
  <c r="C48" i="46"/>
  <c r="B48" i="46" s="1"/>
  <c r="B53" i="46" s="1"/>
  <c r="L50" i="39"/>
  <c r="D13" i="10"/>
  <c r="C16" i="42"/>
  <c r="C17" i="42" s="1"/>
  <c r="E50" i="42"/>
  <c r="Q37" i="45"/>
  <c r="Q48" i="45" s="1"/>
  <c r="Q53" i="45" s="1"/>
  <c r="Q55" i="43"/>
  <c r="B52" i="46"/>
  <c r="I52" i="48"/>
  <c r="N24" i="16"/>
  <c r="N27" i="16" s="1"/>
  <c r="N47" i="16" s="1"/>
  <c r="O29" i="16"/>
  <c r="M24" i="16"/>
  <c r="M27" i="16" s="1"/>
  <c r="M47" i="16" s="1"/>
  <c r="O24" i="16"/>
  <c r="O27" i="16" s="1"/>
  <c r="O47" i="16" s="1"/>
  <c r="T13" i="39"/>
  <c r="P22" i="13"/>
  <c r="P29" i="13" s="1"/>
  <c r="P34" i="13" s="1"/>
  <c r="M34" i="40"/>
  <c r="M51" i="43"/>
  <c r="Q24" i="16"/>
  <c r="Q27" i="16" s="1"/>
  <c r="Q47" i="16" s="1"/>
  <c r="S29" i="16"/>
  <c r="S24" i="16"/>
  <c r="S27" i="16" s="1"/>
  <c r="S47" i="16" s="1"/>
  <c r="R24" i="16"/>
  <c r="R27" i="16" s="1"/>
  <c r="R47" i="16" s="1"/>
  <c r="P24" i="16"/>
  <c r="P27" i="16" s="1"/>
  <c r="P47" i="16" s="1"/>
  <c r="R22" i="39"/>
  <c r="Q22" i="39"/>
  <c r="Q29" i="39" s="1"/>
  <c r="L48" i="39"/>
  <c r="L53" i="39" s="1"/>
  <c r="N34" i="40"/>
  <c r="L48" i="40"/>
  <c r="L53" i="40" s="1"/>
  <c r="T48" i="40"/>
  <c r="T53" i="40" s="1"/>
  <c r="F48" i="26"/>
  <c r="F53" i="26" s="1"/>
  <c r="G16" i="42"/>
  <c r="G17" i="42" s="1"/>
  <c r="K37" i="42"/>
  <c r="M29" i="12"/>
  <c r="L24" i="12"/>
  <c r="L27" i="12" s="1"/>
  <c r="T24" i="12"/>
  <c r="T27" i="12" s="1"/>
  <c r="T47" i="12" s="1"/>
  <c r="T52" i="12" s="1"/>
  <c r="L48" i="12"/>
  <c r="L53" i="12" s="1"/>
  <c r="T48" i="12"/>
  <c r="T53" i="12" s="1"/>
  <c r="N51" i="12"/>
  <c r="O51" i="13"/>
  <c r="S50" i="45"/>
  <c r="R51" i="44"/>
  <c r="E51" i="46"/>
  <c r="C55" i="46"/>
  <c r="E51" i="14"/>
  <c r="S24" i="40"/>
  <c r="S27" i="40" s="1"/>
  <c r="S47" i="40" s="1"/>
  <c r="S50" i="40" s="1"/>
  <c r="N29" i="39"/>
  <c r="G37" i="10"/>
  <c r="H16" i="42"/>
  <c r="H17" i="42" s="1"/>
  <c r="M37" i="42"/>
  <c r="C37" i="14"/>
  <c r="H17" i="10"/>
  <c r="O24" i="40"/>
  <c r="O25" i="40" s="1"/>
  <c r="N48" i="40"/>
  <c r="N53" i="40" s="1"/>
  <c r="O48" i="12"/>
  <c r="O53" i="12" s="1"/>
  <c r="Q34" i="13"/>
  <c r="P30" i="45"/>
  <c r="M52" i="43"/>
  <c r="V50" i="25"/>
  <c r="E52" i="46"/>
  <c r="F37" i="14"/>
  <c r="E48" i="14" s="1"/>
  <c r="E53" i="14" s="1"/>
  <c r="H50" i="14"/>
  <c r="B50" i="14"/>
  <c r="B55" i="14"/>
  <c r="B51" i="14"/>
  <c r="B52" i="14"/>
  <c r="O34" i="40"/>
  <c r="E55" i="46"/>
  <c r="I55" i="14"/>
  <c r="P13" i="39"/>
  <c r="T16" i="39"/>
  <c r="T17" i="39" s="1"/>
  <c r="W22" i="39"/>
  <c r="W29" i="39" s="1"/>
  <c r="U22" i="39"/>
  <c r="U29" i="39" s="1"/>
  <c r="S17" i="39"/>
  <c r="T21" i="39"/>
  <c r="T33" i="39" s="1"/>
  <c r="Q30" i="39"/>
  <c r="O48" i="40"/>
  <c r="O53" i="40" s="1"/>
  <c r="G24" i="26"/>
  <c r="G27" i="26" s="1"/>
  <c r="G47" i="26" s="1"/>
  <c r="G50" i="26" s="1"/>
  <c r="H48" i="26"/>
  <c r="H53" i="26" s="1"/>
  <c r="B16" i="42"/>
  <c r="B17" i="42" s="1"/>
  <c r="B50" i="42"/>
  <c r="P48" i="12"/>
  <c r="P53" i="12" s="1"/>
  <c r="N46" i="13"/>
  <c r="P52" i="13"/>
  <c r="S48" i="45"/>
  <c r="S53" i="45" s="1"/>
  <c r="P37" i="44"/>
  <c r="M48" i="44" s="1"/>
  <c r="M53" i="44" s="1"/>
  <c r="V51" i="25"/>
  <c r="Q51" i="25"/>
  <c r="I52" i="14"/>
  <c r="F51" i="48"/>
  <c r="F52" i="48"/>
  <c r="E51" i="42"/>
  <c r="P48" i="40"/>
  <c r="P53" i="40" s="1"/>
  <c r="B35" i="42"/>
  <c r="B37" i="42" s="1"/>
  <c r="P24" i="12"/>
  <c r="P27" i="12" s="1"/>
  <c r="M48" i="13"/>
  <c r="M53" i="13" s="1"/>
  <c r="Q55" i="45"/>
  <c r="M55" i="43"/>
  <c r="E52" i="14"/>
  <c r="R51" i="15"/>
  <c r="R52" i="15"/>
  <c r="P51" i="15"/>
  <c r="P52" i="15"/>
  <c r="L29" i="15"/>
  <c r="J50" i="15"/>
  <c r="J51" i="15"/>
  <c r="J52" i="15"/>
  <c r="J55" i="15"/>
  <c r="E55" i="14"/>
  <c r="D55" i="14"/>
  <c r="K51" i="48"/>
  <c r="K52" i="48"/>
  <c r="K50" i="48"/>
  <c r="G51" i="48"/>
  <c r="G52" i="48"/>
  <c r="G50" i="48"/>
  <c r="J52" i="48"/>
  <c r="J50" i="48"/>
  <c r="J51" i="48"/>
  <c r="H51" i="48"/>
  <c r="H52" i="48"/>
  <c r="H50" i="48"/>
  <c r="M48" i="15"/>
  <c r="M53" i="15" s="1"/>
  <c r="P48" i="15"/>
  <c r="P53" i="15" s="1"/>
  <c r="N48" i="15"/>
  <c r="N53" i="15" s="1"/>
  <c r="N52" i="15"/>
  <c r="N51" i="15"/>
  <c r="M52" i="15"/>
  <c r="S52" i="15"/>
  <c r="O48" i="15"/>
  <c r="O53" i="15" s="1"/>
  <c r="M55" i="15"/>
  <c r="Q51" i="15"/>
  <c r="M51" i="15"/>
  <c r="Q52" i="15"/>
  <c r="S51" i="15"/>
  <c r="K26" i="15"/>
  <c r="K27" i="15" s="1"/>
  <c r="K47" i="15" s="1"/>
  <c r="F48" i="14"/>
  <c r="F53" i="14" s="1"/>
  <c r="J50" i="14"/>
  <c r="J52" i="14"/>
  <c r="J55" i="14"/>
  <c r="F50" i="14"/>
  <c r="F52" i="14"/>
  <c r="F51" i="14"/>
  <c r="F55" i="14"/>
  <c r="K52" i="14"/>
  <c r="K51" i="14"/>
  <c r="K50" i="14"/>
  <c r="D37" i="14"/>
  <c r="D48" i="14" s="1"/>
  <c r="D53" i="14" s="1"/>
  <c r="D51" i="14"/>
  <c r="D50" i="14"/>
  <c r="C52" i="14"/>
  <c r="C51" i="14"/>
  <c r="C50" i="14"/>
  <c r="J51" i="14"/>
  <c r="C51" i="46"/>
  <c r="C52" i="46"/>
  <c r="M50" i="25"/>
  <c r="M51" i="25"/>
  <c r="M52" i="25"/>
  <c r="N25" i="25"/>
  <c r="N27" i="25" s="1"/>
  <c r="N47" i="25" s="1"/>
  <c r="O26" i="25"/>
  <c r="O27" i="25" s="1"/>
  <c r="O47" i="25" s="1"/>
  <c r="R50" i="25"/>
  <c r="R51" i="25"/>
  <c r="R52" i="25"/>
  <c r="U52" i="44"/>
  <c r="U50" i="44"/>
  <c r="U51" i="44"/>
  <c r="R55" i="44"/>
  <c r="M29" i="44"/>
  <c r="U37" i="44"/>
  <c r="U48" i="44" s="1"/>
  <c r="V51" i="44"/>
  <c r="V52" i="44"/>
  <c r="V50" i="44"/>
  <c r="U55" i="44"/>
  <c r="Q50" i="44"/>
  <c r="Q51" i="44"/>
  <c r="T52" i="44"/>
  <c r="T50" i="44"/>
  <c r="T51" i="44"/>
  <c r="P17" i="44"/>
  <c r="T35" i="44"/>
  <c r="T37" i="44" s="1"/>
  <c r="V55" i="44"/>
  <c r="Q55" i="44"/>
  <c r="S52" i="44"/>
  <c r="S50" i="44"/>
  <c r="O52" i="43"/>
  <c r="O50" i="43"/>
  <c r="P55" i="43"/>
  <c r="P52" i="43"/>
  <c r="S52" i="45"/>
  <c r="S55" i="45"/>
  <c r="S51" i="45"/>
  <c r="T55" i="45"/>
  <c r="T52" i="45"/>
  <c r="T51" i="45"/>
  <c r="O24" i="45"/>
  <c r="O27" i="45" s="1"/>
  <c r="O47" i="45" s="1"/>
  <c r="O50" i="45" s="1"/>
  <c r="N24" i="45"/>
  <c r="N27" i="45" s="1"/>
  <c r="N47" i="45" s="1"/>
  <c r="N50" i="45" s="1"/>
  <c r="R24" i="45"/>
  <c r="R25" i="45" s="1"/>
  <c r="P35" i="45"/>
  <c r="R51" i="45"/>
  <c r="R52" i="45"/>
  <c r="P24" i="45"/>
  <c r="P27" i="45" s="1"/>
  <c r="P47" i="45" s="1"/>
  <c r="P50" i="45" s="1"/>
  <c r="T48" i="45"/>
  <c r="T53" i="45" s="1"/>
  <c r="M24" i="45"/>
  <c r="M27" i="45" s="1"/>
  <c r="M47" i="45" s="1"/>
  <c r="M50" i="45" s="1"/>
  <c r="Q24" i="45"/>
  <c r="Q25" i="45" s="1"/>
  <c r="Q51" i="45"/>
  <c r="Q52" i="45"/>
  <c r="P16" i="13"/>
  <c r="P17" i="13" s="1"/>
  <c r="N52" i="13"/>
  <c r="N51" i="13"/>
  <c r="N48" i="13"/>
  <c r="N53" i="13" s="1"/>
  <c r="S29" i="13"/>
  <c r="S34" i="13" s="1"/>
  <c r="M46" i="13"/>
  <c r="M50" i="13"/>
  <c r="Q50" i="13"/>
  <c r="R51" i="13"/>
  <c r="P13" i="13"/>
  <c r="O46" i="13"/>
  <c r="P51" i="13"/>
  <c r="M52" i="13"/>
  <c r="Q52" i="13"/>
  <c r="R24" i="12"/>
  <c r="R27" i="12" s="1"/>
  <c r="R47" i="12" s="1"/>
  <c r="R48" i="12"/>
  <c r="R53" i="12" s="1"/>
  <c r="M24" i="12"/>
  <c r="M27" i="12" s="1"/>
  <c r="Q24" i="12"/>
  <c r="Q27" i="12" s="1"/>
  <c r="Q29" i="12"/>
  <c r="U29" i="12"/>
  <c r="M51" i="12"/>
  <c r="Q51" i="12"/>
  <c r="M52" i="12"/>
  <c r="Q52" i="12"/>
  <c r="Q53" i="12"/>
  <c r="M48" i="12"/>
  <c r="M53" i="12" s="1"/>
  <c r="O24" i="12"/>
  <c r="O27" i="12" s="1"/>
  <c r="S24" i="12"/>
  <c r="S27" i="12" s="1"/>
  <c r="S47" i="12" s="1"/>
  <c r="O51" i="12"/>
  <c r="O52" i="12"/>
  <c r="N24" i="12"/>
  <c r="N27" i="12" s="1"/>
  <c r="P51" i="12"/>
  <c r="P52" i="12"/>
  <c r="B55" i="42"/>
  <c r="B52" i="42"/>
  <c r="B51" i="42"/>
  <c r="F52" i="42"/>
  <c r="F51" i="42"/>
  <c r="D55" i="42"/>
  <c r="G34" i="42"/>
  <c r="D52" i="42"/>
  <c r="D51" i="42"/>
  <c r="D34" i="42"/>
  <c r="H34" i="42"/>
  <c r="J37" i="42"/>
  <c r="J24" i="42"/>
  <c r="J27" i="42" s="1"/>
  <c r="J47" i="42" s="1"/>
  <c r="J50" i="42" s="1"/>
  <c r="C34" i="42"/>
  <c r="F35" i="42"/>
  <c r="E36" i="42"/>
  <c r="C40" i="42"/>
  <c r="C41" i="42" s="1"/>
  <c r="B46" i="42"/>
  <c r="E52" i="42"/>
  <c r="E13" i="42"/>
  <c r="G24" i="42"/>
  <c r="G27" i="42" s="1"/>
  <c r="G47" i="42" s="1"/>
  <c r="G50" i="42" s="1"/>
  <c r="C46" i="42"/>
  <c r="H24" i="42"/>
  <c r="H27" i="42" s="1"/>
  <c r="H47" i="42" s="1"/>
  <c r="H50" i="42" s="1"/>
  <c r="I35" i="42"/>
  <c r="I37" i="42" s="1"/>
  <c r="D46" i="42"/>
  <c r="I24" i="42"/>
  <c r="I27" i="42" s="1"/>
  <c r="I47" i="42" s="1"/>
  <c r="I50" i="42" s="1"/>
  <c r="H24" i="26"/>
  <c r="H27" i="26" s="1"/>
  <c r="H47" i="26" s="1"/>
  <c r="H50" i="26" s="1"/>
  <c r="G42" i="26"/>
  <c r="I48" i="26"/>
  <c r="I53" i="26" s="1"/>
  <c r="I24" i="26"/>
  <c r="H29" i="26"/>
  <c r="H34" i="26" s="1"/>
  <c r="F24" i="26"/>
  <c r="F27" i="26" s="1"/>
  <c r="F47" i="26" s="1"/>
  <c r="F50" i="26" s="1"/>
  <c r="L24" i="40"/>
  <c r="P24" i="40"/>
  <c r="P27" i="40" s="1"/>
  <c r="P47" i="40" s="1"/>
  <c r="P50" i="40" s="1"/>
  <c r="T24" i="40"/>
  <c r="T27" i="40" s="1"/>
  <c r="T47" i="40" s="1"/>
  <c r="T50" i="40" s="1"/>
  <c r="P29" i="40"/>
  <c r="P34" i="40" s="1"/>
  <c r="T29" i="40"/>
  <c r="T34" i="40" s="1"/>
  <c r="M24" i="40"/>
  <c r="Q24" i="40"/>
  <c r="Q27" i="40" s="1"/>
  <c r="Q47" i="40" s="1"/>
  <c r="Q50" i="40" s="1"/>
  <c r="U24" i="40"/>
  <c r="U27" i="40" s="1"/>
  <c r="U47" i="40" s="1"/>
  <c r="U50" i="40" s="1"/>
  <c r="N24" i="40"/>
  <c r="R24" i="40"/>
  <c r="R27" i="40" s="1"/>
  <c r="R47" i="40" s="1"/>
  <c r="B35" i="10"/>
  <c r="B37" i="10" s="1"/>
  <c r="C37" i="10"/>
  <c r="H29" i="10"/>
  <c r="H24" i="10"/>
  <c r="H27" i="10" s="1"/>
  <c r="F24" i="10"/>
  <c r="F27" i="10" s="1"/>
  <c r="B24" i="10"/>
  <c r="B27" i="10" s="1"/>
  <c r="B47" i="10" s="1"/>
  <c r="B50" i="10" s="1"/>
  <c r="D46" i="10"/>
  <c r="C46" i="10" s="1"/>
  <c r="B46" i="10" s="1"/>
  <c r="J48" i="10"/>
  <c r="J53" i="10" s="1"/>
  <c r="J24" i="10"/>
  <c r="J27" i="10" s="1"/>
  <c r="J47" i="10" s="1"/>
  <c r="J50" i="10" s="1"/>
  <c r="C24" i="10"/>
  <c r="C27" i="10" s="1"/>
  <c r="C47" i="10" s="1"/>
  <c r="C50" i="10" s="1"/>
  <c r="G24" i="10"/>
  <c r="G27" i="10" s="1"/>
  <c r="K24" i="10"/>
  <c r="K27" i="10" s="1"/>
  <c r="K47" i="10" s="1"/>
  <c r="I51" i="10"/>
  <c r="D24" i="10"/>
  <c r="D27" i="10" s="1"/>
  <c r="D47" i="10" s="1"/>
  <c r="D50" i="10" s="1"/>
  <c r="L24" i="10"/>
  <c r="L27" i="10" s="1"/>
  <c r="L47" i="10" s="1"/>
  <c r="L50" i="10" s="1"/>
  <c r="D37" i="10"/>
  <c r="D48" i="10" s="1"/>
  <c r="I52" i="10"/>
  <c r="E24" i="10"/>
  <c r="E27" i="10" s="1"/>
  <c r="I24" i="10"/>
  <c r="I27" i="10" s="1"/>
  <c r="M24" i="10"/>
  <c r="M27" i="10" s="1"/>
  <c r="M47" i="10" s="1"/>
  <c r="M50" i="10" s="1"/>
  <c r="L55" i="39"/>
  <c r="L52" i="39"/>
  <c r="L51" i="39"/>
  <c r="M51" i="39"/>
  <c r="M55" i="39"/>
  <c r="M52" i="39"/>
  <c r="X17" i="39"/>
  <c r="R17" i="39"/>
  <c r="V17" i="39"/>
  <c r="V30" i="39"/>
  <c r="U30" i="39" s="1"/>
  <c r="Q31" i="39"/>
  <c r="P31" i="39" s="1"/>
  <c r="V31" i="39"/>
  <c r="W33" i="39"/>
  <c r="Q35" i="39"/>
  <c r="P35" i="39" s="1"/>
  <c r="S46" i="39"/>
  <c r="L46" i="39"/>
  <c r="T46" i="39"/>
  <c r="Q46" i="39"/>
  <c r="U17" i="39"/>
  <c r="X55" i="38"/>
  <c r="W55" i="38"/>
  <c r="V55" i="38"/>
  <c r="U46" i="38"/>
  <c r="T46" i="38"/>
  <c r="S46" i="38"/>
  <c r="R46" i="38"/>
  <c r="Q46" i="38"/>
  <c r="P46" i="38"/>
  <c r="O46" i="38"/>
  <c r="N46" i="38"/>
  <c r="M46" i="38"/>
  <c r="L46" i="38"/>
  <c r="U41" i="38"/>
  <c r="S41" i="38"/>
  <c r="O41" i="38"/>
  <c r="N41" i="38"/>
  <c r="T40" i="38"/>
  <c r="T41" i="38" s="1"/>
  <c r="R40" i="38"/>
  <c r="R41" i="38" s="1"/>
  <c r="Q40" i="38"/>
  <c r="Q41" i="38" s="1"/>
  <c r="P40" i="38"/>
  <c r="P41" i="38" s="1"/>
  <c r="M40" i="38"/>
  <c r="M41" i="38" s="1"/>
  <c r="L40" i="38"/>
  <c r="L41" i="38" s="1"/>
  <c r="Q37" i="38"/>
  <c r="X36" i="38"/>
  <c r="X37" i="38" s="1"/>
  <c r="W36" i="38"/>
  <c r="W37" i="38" s="1"/>
  <c r="V36" i="38"/>
  <c r="V37" i="38" s="1"/>
  <c r="U36" i="38"/>
  <c r="U37" i="38" s="1"/>
  <c r="T36" i="38"/>
  <c r="T37" i="38" s="1"/>
  <c r="S36" i="38"/>
  <c r="S37" i="38" s="1"/>
  <c r="R36" i="38"/>
  <c r="R37" i="38" s="1"/>
  <c r="O37" i="38"/>
  <c r="X33" i="38"/>
  <c r="W33" i="38"/>
  <c r="V33" i="38"/>
  <c r="U33" i="38"/>
  <c r="T33" i="38"/>
  <c r="S33" i="38"/>
  <c r="R33" i="38"/>
  <c r="Q33" i="38"/>
  <c r="P33" i="38"/>
  <c r="O33" i="38"/>
  <c r="N29" i="38"/>
  <c r="M29" i="38"/>
  <c r="L29" i="38"/>
  <c r="X22" i="38"/>
  <c r="X29" i="38" s="1"/>
  <c r="W22" i="38"/>
  <c r="W29" i="38" s="1"/>
  <c r="V22" i="38"/>
  <c r="U22" i="38"/>
  <c r="U29" i="38" s="1"/>
  <c r="T22" i="38"/>
  <c r="T29" i="38" s="1"/>
  <c r="S22" i="38"/>
  <c r="S29" i="38" s="1"/>
  <c r="R22" i="38"/>
  <c r="Q22" i="38"/>
  <c r="Q29" i="38" s="1"/>
  <c r="P22" i="38"/>
  <c r="P29" i="38" s="1"/>
  <c r="O22" i="38"/>
  <c r="L24" i="38" s="1"/>
  <c r="L27" i="38" s="1"/>
  <c r="L47" i="38" s="1"/>
  <c r="L50" i="38" s="1"/>
  <c r="X17" i="38"/>
  <c r="W17" i="38"/>
  <c r="V17" i="38"/>
  <c r="U17" i="38"/>
  <c r="T17" i="38"/>
  <c r="S17" i="38"/>
  <c r="R17" i="38"/>
  <c r="Q17" i="38"/>
  <c r="P17" i="38"/>
  <c r="O17" i="38"/>
  <c r="N17" i="38"/>
  <c r="M17" i="38"/>
  <c r="L17" i="38"/>
  <c r="T13" i="38"/>
  <c r="S13" i="38"/>
  <c r="R13" i="38"/>
  <c r="Q13" i="38"/>
  <c r="P13" i="38"/>
  <c r="O13" i="38"/>
  <c r="N13" i="38"/>
  <c r="M13" i="38"/>
  <c r="L13" i="38"/>
  <c r="V55" i="36"/>
  <c r="U55" i="36"/>
  <c r="T55" i="36"/>
  <c r="S46" i="36"/>
  <c r="R46" i="36"/>
  <c r="S40" i="36"/>
  <c r="S41" i="36" s="1"/>
  <c r="R40" i="36"/>
  <c r="R41" i="36" s="1"/>
  <c r="Q40" i="36"/>
  <c r="Q41" i="36" s="1"/>
  <c r="P40" i="36"/>
  <c r="P41" i="36" s="1"/>
  <c r="O40" i="36"/>
  <c r="O41" i="36" s="1"/>
  <c r="N40" i="36"/>
  <c r="N41" i="36" s="1"/>
  <c r="M40" i="36"/>
  <c r="M41" i="36" s="1"/>
  <c r="L40" i="36"/>
  <c r="L41" i="36" s="1"/>
  <c r="K40" i="36"/>
  <c r="K41" i="36" s="1"/>
  <c r="J40" i="36"/>
  <c r="J41" i="36" s="1"/>
  <c r="T37" i="36"/>
  <c r="P37" i="36"/>
  <c r="L37" i="36"/>
  <c r="V36" i="36"/>
  <c r="U36" i="36"/>
  <c r="S36" i="36"/>
  <c r="O36" i="36"/>
  <c r="N36" i="36" s="1"/>
  <c r="M36" i="36" s="1"/>
  <c r="K36" i="36"/>
  <c r="J36" i="36" s="1"/>
  <c r="I36" i="36" s="1"/>
  <c r="V35" i="36"/>
  <c r="U35" i="36"/>
  <c r="S35" i="36"/>
  <c r="R35" i="36" s="1"/>
  <c r="O35" i="36"/>
  <c r="N35" i="36" s="1"/>
  <c r="K35" i="36"/>
  <c r="V33" i="36"/>
  <c r="V32" i="36"/>
  <c r="U32" i="36"/>
  <c r="S32" i="36"/>
  <c r="R32" i="36" s="1"/>
  <c r="Q32" i="36" s="1"/>
  <c r="O32" i="36"/>
  <c r="N32" i="36" s="1"/>
  <c r="M32" i="36" s="1"/>
  <c r="V31" i="36"/>
  <c r="U31" i="36"/>
  <c r="S31" i="36"/>
  <c r="R31" i="36" s="1"/>
  <c r="O31" i="36"/>
  <c r="N31" i="36" s="1"/>
  <c r="M31" i="36" s="1"/>
  <c r="K31" i="36"/>
  <c r="J31" i="36" s="1"/>
  <c r="I31" i="36" s="1"/>
  <c r="V30" i="36"/>
  <c r="U30" i="36"/>
  <c r="S30" i="36"/>
  <c r="R30" i="36" s="1"/>
  <c r="Q30" i="36" s="1"/>
  <c r="O30" i="36"/>
  <c r="N30" i="36" s="1"/>
  <c r="M30" i="36" s="1"/>
  <c r="K30" i="36"/>
  <c r="J30" i="36" s="1"/>
  <c r="I30" i="36" s="1"/>
  <c r="U21" i="36"/>
  <c r="T21" i="36"/>
  <c r="S21" i="36"/>
  <c r="S33" i="36" s="1"/>
  <c r="R21" i="36"/>
  <c r="R33" i="36" s="1"/>
  <c r="P21" i="36"/>
  <c r="O21" i="36"/>
  <c r="O33" i="36" s="1"/>
  <c r="N21" i="36"/>
  <c r="N33" i="36" s="1"/>
  <c r="L33" i="36"/>
  <c r="K21" i="36"/>
  <c r="K33" i="36" s="1"/>
  <c r="J21" i="36"/>
  <c r="U19" i="36"/>
  <c r="V16" i="36"/>
  <c r="V22" i="36" s="1"/>
  <c r="V29" i="36" s="1"/>
  <c r="U16" i="36"/>
  <c r="U17" i="36" s="1"/>
  <c r="T16" i="36"/>
  <c r="T17" i="36" s="1"/>
  <c r="S16" i="36"/>
  <c r="S17" i="36" s="1"/>
  <c r="R16" i="36"/>
  <c r="R17" i="36" s="1"/>
  <c r="P16" i="36"/>
  <c r="P17" i="36" s="1"/>
  <c r="O16" i="36"/>
  <c r="O17" i="36" s="1"/>
  <c r="N16" i="36"/>
  <c r="N17" i="36" s="1"/>
  <c r="L16" i="36"/>
  <c r="L17" i="36" s="1"/>
  <c r="K17" i="36"/>
  <c r="J16" i="36"/>
  <c r="J17" i="36" s="1"/>
  <c r="R13" i="36"/>
  <c r="P13" i="36"/>
  <c r="O13" i="36"/>
  <c r="N13" i="36"/>
  <c r="L13" i="36"/>
  <c r="K13" i="36"/>
  <c r="J13" i="36"/>
  <c r="Q12" i="36"/>
  <c r="P46" i="36" s="1"/>
  <c r="M12" i="36"/>
  <c r="T55" i="35"/>
  <c r="S55" i="35"/>
  <c r="R55" i="35"/>
  <c r="Q55" i="35"/>
  <c r="P55" i="35"/>
  <c r="Q46" i="35"/>
  <c r="P46" i="35"/>
  <c r="O40" i="35"/>
  <c r="O41" i="35" s="1"/>
  <c r="N40" i="35"/>
  <c r="N41" i="35" s="1"/>
  <c r="M40" i="35"/>
  <c r="M41" i="35" s="1"/>
  <c r="L40" i="35"/>
  <c r="L41" i="35" s="1"/>
  <c r="K40" i="35"/>
  <c r="K41" i="35" s="1"/>
  <c r="J40" i="35"/>
  <c r="J41" i="35" s="1"/>
  <c r="I40" i="35"/>
  <c r="I41" i="35" s="1"/>
  <c r="H40" i="35"/>
  <c r="H41" i="35" s="1"/>
  <c r="T37" i="35"/>
  <c r="S37" i="35"/>
  <c r="R37" i="35"/>
  <c r="Q37" i="35"/>
  <c r="P37" i="35"/>
  <c r="O37" i="35"/>
  <c r="N37" i="35"/>
  <c r="M37" i="35"/>
  <c r="L37" i="35"/>
  <c r="J37" i="35"/>
  <c r="I37" i="35"/>
  <c r="H37" i="35"/>
  <c r="E48" i="35" s="1"/>
  <c r="E53" i="35" s="1"/>
  <c r="K36" i="35"/>
  <c r="K37" i="35" s="1"/>
  <c r="T33" i="35"/>
  <c r="S33" i="35"/>
  <c r="R33" i="35"/>
  <c r="Q33" i="35"/>
  <c r="P33" i="35"/>
  <c r="O33" i="35"/>
  <c r="N33" i="35"/>
  <c r="M33" i="35"/>
  <c r="L33" i="35"/>
  <c r="K31" i="35"/>
  <c r="K30" i="35"/>
  <c r="H29" i="35"/>
  <c r="H34" i="35" s="1"/>
  <c r="K25" i="35"/>
  <c r="I25" i="35"/>
  <c r="T22" i="35"/>
  <c r="T29" i="35" s="1"/>
  <c r="S22" i="35"/>
  <c r="S29" i="35" s="1"/>
  <c r="R22" i="35"/>
  <c r="R29" i="35" s="1"/>
  <c r="Q22" i="35"/>
  <c r="P22" i="35"/>
  <c r="N22" i="35"/>
  <c r="M22" i="35"/>
  <c r="L22" i="35"/>
  <c r="L29" i="35" s="1"/>
  <c r="K20" i="35"/>
  <c r="K33" i="35" s="1"/>
  <c r="H17" i="35"/>
  <c r="T17" i="35"/>
  <c r="S17" i="35"/>
  <c r="R17" i="35"/>
  <c r="Q17" i="35"/>
  <c r="P17" i="35"/>
  <c r="N17" i="35"/>
  <c r="M17" i="35"/>
  <c r="L17" i="35"/>
  <c r="P13" i="35"/>
  <c r="N13" i="35"/>
  <c r="M13" i="35"/>
  <c r="L13" i="35"/>
  <c r="J13" i="35"/>
  <c r="I13" i="35"/>
  <c r="H13" i="35"/>
  <c r="O12" i="35"/>
  <c r="M46" i="35" s="1"/>
  <c r="K12" i="35"/>
  <c r="Q55" i="9"/>
  <c r="P55" i="9"/>
  <c r="L55" i="9"/>
  <c r="K55" i="9"/>
  <c r="J55" i="9"/>
  <c r="I55" i="9"/>
  <c r="P50" i="9"/>
  <c r="L47" i="9"/>
  <c r="L50" i="9" s="1"/>
  <c r="K47" i="9"/>
  <c r="K50" i="9" s="1"/>
  <c r="J47" i="9"/>
  <c r="J50" i="9" s="1"/>
  <c r="P41" i="9"/>
  <c r="P53" i="9" s="1"/>
  <c r="L41" i="9"/>
  <c r="K41" i="9"/>
  <c r="J41" i="9"/>
  <c r="I41" i="9"/>
  <c r="N36" i="9"/>
  <c r="J36" i="9"/>
  <c r="I36" i="9" s="1"/>
  <c r="H36" i="9" s="1"/>
  <c r="O35" i="9"/>
  <c r="K37" i="9"/>
  <c r="N32" i="9"/>
  <c r="J32" i="9"/>
  <c r="I32" i="9" s="1"/>
  <c r="H32" i="9" s="1"/>
  <c r="N31" i="9"/>
  <c r="M31" i="9" s="1"/>
  <c r="L31" i="9" s="1"/>
  <c r="J31" i="9"/>
  <c r="I31" i="9" s="1"/>
  <c r="H31" i="9" s="1"/>
  <c r="N30" i="9"/>
  <c r="M30" i="9"/>
  <c r="L30" i="9" s="1"/>
  <c r="J30" i="9"/>
  <c r="I27" i="9"/>
  <c r="I47" i="9" s="1"/>
  <c r="I50" i="9" s="1"/>
  <c r="M24" i="9"/>
  <c r="O22" i="9"/>
  <c r="O29" i="9" s="1"/>
  <c r="K22" i="9"/>
  <c r="K29" i="9" s="1"/>
  <c r="N21" i="9"/>
  <c r="M21" i="9" s="1"/>
  <c r="L21" i="9" s="1"/>
  <c r="J21" i="9"/>
  <c r="I21" i="9" s="1"/>
  <c r="N20" i="9"/>
  <c r="M20" i="9" s="1"/>
  <c r="L20" i="9" s="1"/>
  <c r="J20" i="9"/>
  <c r="I20" i="9" s="1"/>
  <c r="H20" i="9" s="1"/>
  <c r="O17" i="9"/>
  <c r="K17" i="9"/>
  <c r="N16" i="9"/>
  <c r="M16" i="9" s="1"/>
  <c r="J16" i="9"/>
  <c r="M13" i="9"/>
  <c r="K13" i="9"/>
  <c r="J13" i="9"/>
  <c r="I13" i="9"/>
  <c r="P12" i="9"/>
  <c r="N46" i="9" s="1"/>
  <c r="L12" i="9"/>
  <c r="Y55" i="8"/>
  <c r="X55" i="8"/>
  <c r="W55" i="8"/>
  <c r="V55" i="8"/>
  <c r="U55" i="8"/>
  <c r="V46" i="8"/>
  <c r="U46" i="8"/>
  <c r="T42" i="8"/>
  <c r="S42" i="8"/>
  <c r="R42" i="8"/>
  <c r="Q42" i="8"/>
  <c r="P42" i="8"/>
  <c r="O42" i="8"/>
  <c r="N42" i="8"/>
  <c r="M42" i="8"/>
  <c r="Q41" i="8"/>
  <c r="M41" i="8"/>
  <c r="T40" i="8"/>
  <c r="T41" i="8" s="1"/>
  <c r="S40" i="8"/>
  <c r="S41" i="8" s="1"/>
  <c r="R40" i="8"/>
  <c r="R41" i="8" s="1"/>
  <c r="P40" i="8"/>
  <c r="P41" i="8" s="1"/>
  <c r="O40" i="8"/>
  <c r="O41" i="8" s="1"/>
  <c r="N40" i="8"/>
  <c r="N41" i="8" s="1"/>
  <c r="M40" i="8"/>
  <c r="Y37" i="8"/>
  <c r="X37" i="8"/>
  <c r="W37" i="8"/>
  <c r="U37" i="8"/>
  <c r="S37" i="8"/>
  <c r="O37" i="8"/>
  <c r="V36" i="8"/>
  <c r="T36" i="8" s="1"/>
  <c r="R36" i="8"/>
  <c r="Q36" i="8" s="1"/>
  <c r="N36" i="8"/>
  <c r="M36" i="8" s="1"/>
  <c r="L36" i="8" s="1"/>
  <c r="V35" i="8"/>
  <c r="R35" i="8"/>
  <c r="Q35" i="8" s="1"/>
  <c r="N35" i="8"/>
  <c r="M35" i="8" s="1"/>
  <c r="W32" i="8"/>
  <c r="V32" i="8" s="1"/>
  <c r="S32" i="8"/>
  <c r="R32" i="8" s="1"/>
  <c r="O32" i="8"/>
  <c r="N32" i="8" s="1"/>
  <c r="M32" i="8" s="1"/>
  <c r="L32" i="8" s="1"/>
  <c r="T31" i="8"/>
  <c r="R31" i="8"/>
  <c r="Q31" i="8" s="1"/>
  <c r="N31" i="8"/>
  <c r="M31" i="8" s="1"/>
  <c r="L31" i="8" s="1"/>
  <c r="V30" i="8"/>
  <c r="T30" i="8" s="1"/>
  <c r="R30" i="8"/>
  <c r="Q30" i="8" s="1"/>
  <c r="P30" i="8" s="1"/>
  <c r="N30" i="8"/>
  <c r="M30" i="8" s="1"/>
  <c r="L30" i="8" s="1"/>
  <c r="Y22" i="8"/>
  <c r="Y29" i="8" s="1"/>
  <c r="X22" i="8"/>
  <c r="X29" i="8" s="1"/>
  <c r="W22" i="8"/>
  <c r="W29" i="8" s="1"/>
  <c r="V22" i="8"/>
  <c r="V29" i="8" s="1"/>
  <c r="U22" i="8"/>
  <c r="U29" i="8" s="1"/>
  <c r="Q22" i="8"/>
  <c r="Q29" i="8" s="1"/>
  <c r="P22" i="8"/>
  <c r="P29" i="8" s="1"/>
  <c r="O22" i="8"/>
  <c r="N22" i="8"/>
  <c r="N29" i="8" s="1"/>
  <c r="M22" i="8"/>
  <c r="Y17" i="8"/>
  <c r="X17" i="8"/>
  <c r="W17" i="8"/>
  <c r="V17" i="8"/>
  <c r="U17" i="8"/>
  <c r="Q17" i="8"/>
  <c r="O17" i="8"/>
  <c r="N17" i="8"/>
  <c r="M17" i="8"/>
  <c r="S16" i="8"/>
  <c r="S17" i="8" s="1"/>
  <c r="R16" i="8"/>
  <c r="R22" i="8" s="1"/>
  <c r="U13" i="8"/>
  <c r="S13" i="8"/>
  <c r="R13" i="8"/>
  <c r="Q13" i="8"/>
  <c r="O13" i="8"/>
  <c r="N13" i="8"/>
  <c r="M13" i="8"/>
  <c r="T12" i="8"/>
  <c r="S46" i="8" s="1"/>
  <c r="P12" i="8"/>
  <c r="N46" i="8" s="1"/>
  <c r="O55" i="33"/>
  <c r="N55" i="33"/>
  <c r="M55" i="33"/>
  <c r="L55" i="33"/>
  <c r="K55" i="33"/>
  <c r="J55" i="33"/>
  <c r="I55" i="33"/>
  <c r="H55" i="33"/>
  <c r="E48" i="33"/>
  <c r="E46" i="33"/>
  <c r="D46" i="33"/>
  <c r="C46" i="33"/>
  <c r="G41" i="33"/>
  <c r="C41" i="33"/>
  <c r="F40" i="33"/>
  <c r="F50" i="33" s="1"/>
  <c r="E40" i="33"/>
  <c r="E41" i="33" s="1"/>
  <c r="O37" i="33"/>
  <c r="N37" i="33"/>
  <c r="M37" i="33"/>
  <c r="L37" i="33"/>
  <c r="K37" i="33"/>
  <c r="J37" i="33"/>
  <c r="I37" i="33"/>
  <c r="H37" i="33"/>
  <c r="G37" i="33"/>
  <c r="F37" i="33"/>
  <c r="E37" i="33"/>
  <c r="D37" i="33"/>
  <c r="C37" i="33"/>
  <c r="H32" i="33"/>
  <c r="G32" i="33"/>
  <c r="E32" i="33"/>
  <c r="D32" i="33"/>
  <c r="C32" i="33"/>
  <c r="O29" i="33"/>
  <c r="N29" i="33"/>
  <c r="M29" i="33"/>
  <c r="L29" i="33"/>
  <c r="K29" i="33"/>
  <c r="J29" i="33"/>
  <c r="H29" i="33"/>
  <c r="G29" i="33"/>
  <c r="D29" i="33"/>
  <c r="C29" i="33"/>
  <c r="L24" i="33"/>
  <c r="L27" i="33" s="1"/>
  <c r="K24" i="33"/>
  <c r="K27" i="33" s="1"/>
  <c r="J24" i="33"/>
  <c r="J27" i="33" s="1"/>
  <c r="I24" i="33"/>
  <c r="I27" i="33" s="1"/>
  <c r="H24" i="33"/>
  <c r="H27" i="33" s="1"/>
  <c r="F22" i="33"/>
  <c r="O21" i="33"/>
  <c r="N21" i="33"/>
  <c r="M21" i="33"/>
  <c r="L21" i="33"/>
  <c r="K21" i="33"/>
  <c r="J21" i="33"/>
  <c r="I21" i="33"/>
  <c r="E21" i="33"/>
  <c r="I20" i="33"/>
  <c r="E20" i="33"/>
  <c r="O17" i="33"/>
  <c r="N17" i="33"/>
  <c r="M17" i="33"/>
  <c r="L17" i="33"/>
  <c r="K17" i="33"/>
  <c r="J17" i="33"/>
  <c r="G17" i="33"/>
  <c r="F17" i="33"/>
  <c r="H16" i="33"/>
  <c r="H17" i="33" s="1"/>
  <c r="D16" i="33"/>
  <c r="D17" i="33" s="1"/>
  <c r="C16" i="33"/>
  <c r="C17" i="33" s="1"/>
  <c r="K13" i="33"/>
  <c r="J13" i="33"/>
  <c r="I13" i="33"/>
  <c r="H13" i="33"/>
  <c r="G13" i="33"/>
  <c r="F13" i="33"/>
  <c r="E13" i="33"/>
  <c r="D13" i="33"/>
  <c r="C13" i="33"/>
  <c r="Y55" i="23"/>
  <c r="X55" i="23"/>
  <c r="N42" i="23"/>
  <c r="M42" i="23"/>
  <c r="Y37" i="23"/>
  <c r="X37" i="23"/>
  <c r="W37" i="23"/>
  <c r="V37" i="23"/>
  <c r="U37" i="23"/>
  <c r="T37" i="23"/>
  <c r="S37" i="23"/>
  <c r="O37" i="23"/>
  <c r="R36" i="23"/>
  <c r="Q36" i="23" s="1"/>
  <c r="P36" i="23" s="1"/>
  <c r="L36" i="23"/>
  <c r="R35" i="23"/>
  <c r="N37" i="23"/>
  <c r="X32" i="23"/>
  <c r="W32" i="23"/>
  <c r="V32" i="23" s="1"/>
  <c r="S32" i="23"/>
  <c r="R32" i="23" s="1"/>
  <c r="Q32" i="23" s="1"/>
  <c r="P32" i="23" s="1"/>
  <c r="L32" i="23"/>
  <c r="X31" i="23"/>
  <c r="V31" i="23"/>
  <c r="U31" i="23" s="1"/>
  <c r="T31" i="23" s="1"/>
  <c r="R31" i="23"/>
  <c r="Q31" i="23" s="1"/>
  <c r="P31" i="23" s="1"/>
  <c r="N31" i="23"/>
  <c r="M31" i="23" s="1"/>
  <c r="L31" i="23" s="1"/>
  <c r="X30" i="23"/>
  <c r="V30" i="23"/>
  <c r="U30" i="23" s="1"/>
  <c r="T30" i="23" s="1"/>
  <c r="R30" i="23"/>
  <c r="Q30" i="23" s="1"/>
  <c r="P30" i="23" s="1"/>
  <c r="N30" i="23"/>
  <c r="M30" i="23" s="1"/>
  <c r="L30" i="23" s="1"/>
  <c r="Y22" i="23"/>
  <c r="Y29" i="23" s="1"/>
  <c r="X22" i="23"/>
  <c r="X29" i="23" s="1"/>
  <c r="W22" i="23"/>
  <c r="W29" i="23" s="1"/>
  <c r="V22" i="23"/>
  <c r="V29" i="23" s="1"/>
  <c r="U22" i="23"/>
  <c r="T22" i="23"/>
  <c r="T29" i="23" s="1"/>
  <c r="S22" i="23"/>
  <c r="S29" i="23" s="1"/>
  <c r="R19" i="23"/>
  <c r="P19" i="23" s="1"/>
  <c r="Y17" i="23"/>
  <c r="X17" i="23"/>
  <c r="W17" i="23"/>
  <c r="V17" i="23"/>
  <c r="U17" i="23"/>
  <c r="T17" i="23"/>
  <c r="S17" i="23"/>
  <c r="R16" i="23"/>
  <c r="R17" i="23" s="1"/>
  <c r="Q16" i="23"/>
  <c r="Q17" i="23" s="1"/>
  <c r="O17" i="23"/>
  <c r="N17" i="23"/>
  <c r="M17" i="23"/>
  <c r="U13" i="23"/>
  <c r="T13" i="23"/>
  <c r="S13" i="23"/>
  <c r="R13" i="23"/>
  <c r="Q13" i="23"/>
  <c r="O13" i="23"/>
  <c r="M13" i="23"/>
  <c r="O46" i="23"/>
  <c r="X55" i="3"/>
  <c r="W55" i="3"/>
  <c r="V55" i="3"/>
  <c r="U42" i="3"/>
  <c r="T42" i="3"/>
  <c r="S42" i="3"/>
  <c r="R42" i="3"/>
  <c r="Q42" i="3"/>
  <c r="P42" i="3"/>
  <c r="O42" i="3"/>
  <c r="N42" i="3"/>
  <c r="M42" i="3"/>
  <c r="L42" i="3"/>
  <c r="U41" i="3"/>
  <c r="T41" i="3"/>
  <c r="S41" i="3"/>
  <c r="R41" i="3"/>
  <c r="Q41" i="3"/>
  <c r="P41" i="3"/>
  <c r="O41" i="3"/>
  <c r="N41" i="3"/>
  <c r="M41" i="3"/>
  <c r="L40" i="3"/>
  <c r="L41" i="3" s="1"/>
  <c r="V37" i="3"/>
  <c r="R37" i="3"/>
  <c r="N37" i="3"/>
  <c r="X36" i="3"/>
  <c r="W36" i="3"/>
  <c r="U36" i="3"/>
  <c r="T36" i="3" s="1"/>
  <c r="S36" i="3" s="1"/>
  <c r="Q36" i="3"/>
  <c r="L36" i="3"/>
  <c r="K36" i="3" s="1"/>
  <c r="X35" i="3"/>
  <c r="W35" i="3"/>
  <c r="U35" i="3"/>
  <c r="Q35" i="3"/>
  <c r="P35" i="3" s="1"/>
  <c r="M35" i="3"/>
  <c r="L35" i="3" s="1"/>
  <c r="K35" i="3" s="1"/>
  <c r="X32" i="3"/>
  <c r="W32" i="3"/>
  <c r="V32" i="3"/>
  <c r="U32" i="3" s="1"/>
  <c r="R32" i="3"/>
  <c r="Q32" i="3" s="1"/>
  <c r="P32" i="3" s="1"/>
  <c r="M32" i="3"/>
  <c r="L32" i="3" s="1"/>
  <c r="K32" i="3" s="1"/>
  <c r="X31" i="3"/>
  <c r="W31" i="3"/>
  <c r="U31" i="3"/>
  <c r="Q31" i="3"/>
  <c r="P31" i="3" s="1"/>
  <c r="M31" i="3"/>
  <c r="X30" i="3"/>
  <c r="W30" i="3"/>
  <c r="U30" i="3"/>
  <c r="T30" i="3" s="1"/>
  <c r="Q30" i="3"/>
  <c r="P30" i="3" s="1"/>
  <c r="O30" i="3" s="1"/>
  <c r="M30" i="3"/>
  <c r="L30" i="3" s="1"/>
  <c r="K30" i="3" s="1"/>
  <c r="M29" i="3"/>
  <c r="L29" i="3"/>
  <c r="X21" i="3"/>
  <c r="X33" i="3" s="1"/>
  <c r="W21" i="3"/>
  <c r="V21" i="3"/>
  <c r="V33" i="3" s="1"/>
  <c r="U21" i="3"/>
  <c r="U33" i="3" s="1"/>
  <c r="T21" i="3"/>
  <c r="T33" i="3" s="1"/>
  <c r="R21" i="3"/>
  <c r="R33" i="3" s="1"/>
  <c r="Q21" i="3"/>
  <c r="Q33" i="3" s="1"/>
  <c r="P21" i="3"/>
  <c r="P33" i="3" s="1"/>
  <c r="S20" i="3"/>
  <c r="O20" i="3"/>
  <c r="M33" i="3"/>
  <c r="L20" i="3"/>
  <c r="W19" i="3"/>
  <c r="O19" i="3"/>
  <c r="X16" i="3"/>
  <c r="W16" i="3"/>
  <c r="V16" i="3"/>
  <c r="V17" i="3" s="1"/>
  <c r="U16" i="3"/>
  <c r="T16" i="3"/>
  <c r="R16" i="3"/>
  <c r="R17" i="3" s="1"/>
  <c r="Q16" i="3"/>
  <c r="P16" i="3"/>
  <c r="N17" i="3"/>
  <c r="M16" i="3"/>
  <c r="M17" i="3" s="1"/>
  <c r="L16" i="3"/>
  <c r="L17" i="3" s="1"/>
  <c r="T13" i="3"/>
  <c r="R13" i="3"/>
  <c r="Q13" i="3"/>
  <c r="P13" i="3"/>
  <c r="N13" i="3"/>
  <c r="M13" i="3"/>
  <c r="L13" i="3"/>
  <c r="W12" i="3"/>
  <c r="U46" i="3" s="1"/>
  <c r="S12" i="3"/>
  <c r="R46" i="3" s="1"/>
  <c r="O12" i="3"/>
  <c r="K55" i="31"/>
  <c r="J55" i="31"/>
  <c r="I55" i="31"/>
  <c r="C48" i="31"/>
  <c r="D46" i="31"/>
  <c r="C46" i="31"/>
  <c r="B46" i="31"/>
  <c r="D40" i="31"/>
  <c r="D50" i="31" s="1"/>
  <c r="C40" i="31"/>
  <c r="C50" i="31" s="1"/>
  <c r="B40" i="31"/>
  <c r="B41" i="31" s="1"/>
  <c r="B25" i="31"/>
  <c r="F22" i="31"/>
  <c r="G16" i="31"/>
  <c r="H16" i="31" s="1"/>
  <c r="E16" i="31"/>
  <c r="E22" i="31" s="1"/>
  <c r="D16" i="31"/>
  <c r="D22" i="31" s="1"/>
  <c r="C16" i="31"/>
  <c r="B16" i="31"/>
  <c r="G12" i="31"/>
  <c r="H12" i="31" s="1"/>
  <c r="F12" i="31"/>
  <c r="F17" i="31" s="1"/>
  <c r="C12" i="31"/>
  <c r="D12" i="31" s="1"/>
  <c r="B12" i="31"/>
  <c r="D10" i="31"/>
  <c r="E10" i="31" s="1"/>
  <c r="F10" i="31" s="1"/>
  <c r="G10" i="31" s="1"/>
  <c r="H10" i="31" s="1"/>
  <c r="I10" i="31" s="1"/>
  <c r="J10" i="31" s="1"/>
  <c r="K10" i="31" s="1"/>
  <c r="W55" i="30"/>
  <c r="R55" i="30"/>
  <c r="Q55" i="30"/>
  <c r="P55" i="30"/>
  <c r="O55" i="30"/>
  <c r="N55" i="30"/>
  <c r="M55" i="30"/>
  <c r="P46" i="30"/>
  <c r="O46" i="30"/>
  <c r="N46" i="30"/>
  <c r="M46" i="30"/>
  <c r="R40" i="30"/>
  <c r="Q40" i="30"/>
  <c r="Q41" i="30" s="1"/>
  <c r="P40" i="30"/>
  <c r="O40" i="30"/>
  <c r="O41" i="30" s="1"/>
  <c r="N40" i="30"/>
  <c r="N41" i="30" s="1"/>
  <c r="M40" i="30"/>
  <c r="L40" i="30" s="1"/>
  <c r="R39" i="30"/>
  <c r="M39" i="30"/>
  <c r="L39" i="30" s="1"/>
  <c r="O37" i="30"/>
  <c r="O48" i="30" s="1"/>
  <c r="W36" i="30"/>
  <c r="V36" i="30"/>
  <c r="U36" i="30"/>
  <c r="T36" i="30"/>
  <c r="S36" i="30"/>
  <c r="R36" i="30"/>
  <c r="M36" i="30"/>
  <c r="W35" i="30"/>
  <c r="V35" i="30"/>
  <c r="U35" i="30"/>
  <c r="T35" i="30"/>
  <c r="S35" i="30"/>
  <c r="R35" i="30"/>
  <c r="W32" i="30"/>
  <c r="V32" i="30"/>
  <c r="U32" i="30"/>
  <c r="T32" i="30"/>
  <c r="S32" i="30"/>
  <c r="R32" i="30"/>
  <c r="M32" i="30"/>
  <c r="W31" i="30"/>
  <c r="V31" i="30"/>
  <c r="T31" i="30"/>
  <c r="S31" i="30"/>
  <c r="R31" i="30"/>
  <c r="U31" i="30"/>
  <c r="W30" i="30"/>
  <c r="V30" i="30"/>
  <c r="U30" i="30"/>
  <c r="T30" i="30"/>
  <c r="S30" i="30"/>
  <c r="R30" i="30"/>
  <c r="N30" i="30"/>
  <c r="M30" i="30" s="1"/>
  <c r="W29" i="30"/>
  <c r="V24" i="30"/>
  <c r="V27" i="30" s="1"/>
  <c r="V47" i="30" s="1"/>
  <c r="U24" i="30"/>
  <c r="U27" i="30" s="1"/>
  <c r="U47" i="30" s="1"/>
  <c r="S29" i="30"/>
  <c r="O29" i="30"/>
  <c r="S17" i="30"/>
  <c r="R17" i="30"/>
  <c r="Q17" i="30"/>
  <c r="P17" i="30"/>
  <c r="O17" i="30"/>
  <c r="N17" i="30"/>
  <c r="M17" i="30"/>
  <c r="T17" i="30"/>
  <c r="O13" i="30"/>
  <c r="N13" i="30"/>
  <c r="M13" i="30"/>
  <c r="S13" i="30"/>
  <c r="O55" i="1"/>
  <c r="N55" i="1"/>
  <c r="M55" i="1"/>
  <c r="L55" i="1"/>
  <c r="K55" i="1"/>
  <c r="J55" i="1"/>
  <c r="I55" i="1"/>
  <c r="H55" i="1"/>
  <c r="G55" i="1"/>
  <c r="F55" i="1"/>
  <c r="G47" i="1"/>
  <c r="G46" i="1"/>
  <c r="E42" i="1"/>
  <c r="D42" i="1"/>
  <c r="C42" i="1"/>
  <c r="B42" i="1"/>
  <c r="E41" i="1"/>
  <c r="D41" i="1"/>
  <c r="C41" i="1"/>
  <c r="B41" i="1"/>
  <c r="I37" i="1"/>
  <c r="E37" i="1"/>
  <c r="H36" i="1"/>
  <c r="G36" i="1" s="1"/>
  <c r="F36" i="1" s="1"/>
  <c r="D36" i="1"/>
  <c r="C36" i="1" s="1"/>
  <c r="B36" i="1" s="1"/>
  <c r="H35" i="1"/>
  <c r="D35" i="1"/>
  <c r="C35" i="1" s="1"/>
  <c r="I32" i="1"/>
  <c r="H32" i="1" s="1"/>
  <c r="G32" i="1" s="1"/>
  <c r="F32" i="1" s="1"/>
  <c r="E32" i="1"/>
  <c r="D32" i="1" s="1"/>
  <c r="C32" i="1" s="1"/>
  <c r="B32" i="1" s="1"/>
  <c r="H31" i="1"/>
  <c r="G31" i="1" s="1"/>
  <c r="F31" i="1" s="1"/>
  <c r="D31" i="1"/>
  <c r="C31" i="1" s="1"/>
  <c r="B31" i="1" s="1"/>
  <c r="H30" i="1"/>
  <c r="G30" i="1" s="1"/>
  <c r="F30" i="1" s="1"/>
  <c r="D30" i="1"/>
  <c r="C30" i="1" s="1"/>
  <c r="B30" i="1" s="1"/>
  <c r="I22" i="1"/>
  <c r="I29" i="1" s="1"/>
  <c r="H22" i="1"/>
  <c r="H29" i="1" s="1"/>
  <c r="G22" i="1"/>
  <c r="G29" i="1" s="1"/>
  <c r="E22" i="1"/>
  <c r="I17" i="1"/>
  <c r="H17" i="1"/>
  <c r="G17" i="1"/>
  <c r="E17" i="1"/>
  <c r="F16" i="1"/>
  <c r="F22" i="1" s="1"/>
  <c r="D16" i="1"/>
  <c r="D22" i="1" s="1"/>
  <c r="E13" i="1"/>
  <c r="D13" i="1"/>
  <c r="C13" i="1"/>
  <c r="F12" i="1"/>
  <c r="D46" i="1" s="1"/>
  <c r="B12" i="1"/>
  <c r="W55" i="27"/>
  <c r="V55" i="27"/>
  <c r="U55" i="27"/>
  <c r="T46" i="27"/>
  <c r="S46" i="27"/>
  <c r="R46" i="27"/>
  <c r="Q46" i="27"/>
  <c r="P46" i="27"/>
  <c r="O41" i="27"/>
  <c r="M41" i="27"/>
  <c r="L41" i="27"/>
  <c r="W37" i="27"/>
  <c r="V37" i="27"/>
  <c r="U37" i="27"/>
  <c r="T37" i="27"/>
  <c r="S37" i="27"/>
  <c r="R37" i="27"/>
  <c r="N37" i="27"/>
  <c r="Q36" i="27"/>
  <c r="M36" i="27"/>
  <c r="L36" i="27" s="1"/>
  <c r="K37" i="27" s="1"/>
  <c r="H48" i="27" s="1"/>
  <c r="H53" i="27" s="1"/>
  <c r="Q35" i="27"/>
  <c r="M35" i="27"/>
  <c r="Q32" i="27"/>
  <c r="P32" i="27" s="1"/>
  <c r="O32" i="27" s="1"/>
  <c r="W31" i="27"/>
  <c r="V31" i="27"/>
  <c r="U31" i="27"/>
  <c r="T31" i="27"/>
  <c r="S31" i="27"/>
  <c r="R31" i="27"/>
  <c r="Q31" i="27" s="1"/>
  <c r="Q30" i="27"/>
  <c r="P30" i="27" s="1"/>
  <c r="W29" i="27"/>
  <c r="V29" i="27"/>
  <c r="U29" i="27"/>
  <c r="T29" i="27"/>
  <c r="S29" i="27"/>
  <c r="R29" i="27"/>
  <c r="Q29" i="27"/>
  <c r="P29" i="27"/>
  <c r="O29" i="27"/>
  <c r="M29" i="27"/>
  <c r="L29" i="27"/>
  <c r="T24" i="27"/>
  <c r="T27" i="27" s="1"/>
  <c r="T47" i="27" s="1"/>
  <c r="S24" i="27"/>
  <c r="S27" i="27" s="1"/>
  <c r="S47" i="27" s="1"/>
  <c r="R24" i="27"/>
  <c r="R27" i="27" s="1"/>
  <c r="R47" i="27" s="1"/>
  <c r="Q24" i="27"/>
  <c r="Q27" i="27" s="1"/>
  <c r="Q47" i="27" s="1"/>
  <c r="P24" i="27"/>
  <c r="P27" i="27" s="1"/>
  <c r="P47" i="27" s="1"/>
  <c r="O24" i="27"/>
  <c r="O27" i="27" s="1"/>
  <c r="O47" i="27" s="1"/>
  <c r="O50" i="27" s="1"/>
  <c r="N22" i="27"/>
  <c r="L24" i="27" s="1"/>
  <c r="L27" i="27" s="1"/>
  <c r="L47" i="27" s="1"/>
  <c r="L50" i="27" s="1"/>
  <c r="W21" i="27"/>
  <c r="V21" i="27"/>
  <c r="U21" i="27"/>
  <c r="T21" i="27"/>
  <c r="S21" i="27"/>
  <c r="R21" i="27"/>
  <c r="Q21" i="27"/>
  <c r="P21" i="27"/>
  <c r="O21" i="27"/>
  <c r="O16" i="27" s="1"/>
  <c r="N21" i="27"/>
  <c r="M16" i="27"/>
  <c r="M17" i="27" s="1"/>
  <c r="L21" i="27"/>
  <c r="L16" i="27" s="1"/>
  <c r="L17" i="27" s="1"/>
  <c r="W17" i="27"/>
  <c r="V17" i="27"/>
  <c r="U17" i="27"/>
  <c r="T17" i="27"/>
  <c r="S17" i="27"/>
  <c r="R17" i="27"/>
  <c r="Q17" i="27"/>
  <c r="P17" i="27"/>
  <c r="S13" i="27"/>
  <c r="R13" i="27"/>
  <c r="Q13" i="27"/>
  <c r="P13" i="27"/>
  <c r="N13" i="27"/>
  <c r="M13" i="27"/>
  <c r="L13" i="27"/>
  <c r="N46" i="27"/>
  <c r="Q10" i="27"/>
  <c r="R10" i="27" s="1"/>
  <c r="S10" i="27" s="1"/>
  <c r="T10" i="27" s="1"/>
  <c r="U10" i="27" s="1"/>
  <c r="V10" i="27" s="1"/>
  <c r="W10" i="27" s="1"/>
  <c r="E69" i="2"/>
  <c r="F69" i="2"/>
  <c r="C42" i="24" l="1"/>
  <c r="D55" i="24"/>
  <c r="G22" i="31"/>
  <c r="W37" i="3"/>
  <c r="O46" i="35"/>
  <c r="J48" i="42"/>
  <c r="J53" i="42" s="1"/>
  <c r="L34" i="35"/>
  <c r="B48" i="14"/>
  <c r="B53" i="14" s="1"/>
  <c r="C37" i="1"/>
  <c r="B35" i="1"/>
  <c r="B13" i="1"/>
  <c r="C17" i="31"/>
  <c r="K48" i="44"/>
  <c r="K53" i="44" s="1"/>
  <c r="J48" i="44"/>
  <c r="J53" i="44" s="1"/>
  <c r="I48" i="44"/>
  <c r="I53" i="44" s="1"/>
  <c r="L48" i="44"/>
  <c r="L53" i="44" s="1"/>
  <c r="D37" i="1"/>
  <c r="B48" i="33"/>
  <c r="B53" i="33" s="1"/>
  <c r="S34" i="35"/>
  <c r="H50" i="16"/>
  <c r="H55" i="16"/>
  <c r="H52" i="16"/>
  <c r="H51" i="16"/>
  <c r="I48" i="47"/>
  <c r="J53" i="47"/>
  <c r="L50" i="44"/>
  <c r="L52" i="44"/>
  <c r="L51" i="44"/>
  <c r="L55" i="44"/>
  <c r="J42" i="25"/>
  <c r="K55" i="25"/>
  <c r="E51" i="26"/>
  <c r="H37" i="1"/>
  <c r="J24" i="8"/>
  <c r="J27" i="8" s="1"/>
  <c r="J47" i="8" s="1"/>
  <c r="K24" i="8"/>
  <c r="K27" i="8" s="1"/>
  <c r="K47" i="8" s="1"/>
  <c r="P31" i="8"/>
  <c r="J22" i="9"/>
  <c r="T34" i="35"/>
  <c r="K51" i="9"/>
  <c r="K52" i="44"/>
  <c r="K55" i="44"/>
  <c r="K50" i="44"/>
  <c r="K51" i="44"/>
  <c r="N24" i="8"/>
  <c r="N27" i="8" s="1"/>
  <c r="N47" i="8" s="1"/>
  <c r="N50" i="8" s="1"/>
  <c r="S51" i="40"/>
  <c r="B34" i="42"/>
  <c r="J50" i="44"/>
  <c r="J55" i="44"/>
  <c r="J51" i="44"/>
  <c r="J52" i="44"/>
  <c r="I50" i="44"/>
  <c r="I55" i="44"/>
  <c r="I51" i="44"/>
  <c r="I52" i="44"/>
  <c r="X34" i="23"/>
  <c r="W34" i="23"/>
  <c r="H53" i="19"/>
  <c r="G48" i="19"/>
  <c r="M22" i="9"/>
  <c r="L16" i="9"/>
  <c r="L22" i="9" s="1"/>
  <c r="J46" i="9"/>
  <c r="H13" i="9"/>
  <c r="M36" i="9"/>
  <c r="L36" i="9" s="1"/>
  <c r="I30" i="9"/>
  <c r="H30" i="9" s="1"/>
  <c r="J35" i="9"/>
  <c r="L48" i="43"/>
  <c r="L53" i="43" s="1"/>
  <c r="K48" i="43"/>
  <c r="K53" i="43" s="1"/>
  <c r="J48" i="43"/>
  <c r="J53" i="43" s="1"/>
  <c r="N29" i="27"/>
  <c r="K24" i="27"/>
  <c r="K27" i="27" s="1"/>
  <c r="K47" i="27" s="1"/>
  <c r="C51" i="26"/>
  <c r="C52" i="26"/>
  <c r="C50" i="26"/>
  <c r="E52" i="26"/>
  <c r="F48" i="35"/>
  <c r="F53" i="35" s="1"/>
  <c r="K52" i="25"/>
  <c r="K50" i="25"/>
  <c r="K51" i="25"/>
  <c r="E50" i="26"/>
  <c r="D51" i="26"/>
  <c r="D52" i="26"/>
  <c r="D50" i="26"/>
  <c r="J52" i="40"/>
  <c r="J51" i="40"/>
  <c r="J50" i="40"/>
  <c r="O27" i="40"/>
  <c r="O47" i="40" s="1"/>
  <c r="O51" i="40" s="1"/>
  <c r="J24" i="16"/>
  <c r="J27" i="16" s="1"/>
  <c r="J47" i="16" s="1"/>
  <c r="J50" i="16" s="1"/>
  <c r="I24" i="16"/>
  <c r="I27" i="16" s="1"/>
  <c r="I47" i="16" s="1"/>
  <c r="I55" i="16" s="1"/>
  <c r="L25" i="45"/>
  <c r="L27" i="45" s="1"/>
  <c r="O51" i="45"/>
  <c r="M53" i="43"/>
  <c r="U34" i="38"/>
  <c r="W34" i="38"/>
  <c r="P24" i="39"/>
  <c r="P27" i="39" s="1"/>
  <c r="P47" i="39" s="1"/>
  <c r="P50" i="39" s="1"/>
  <c r="S34" i="39"/>
  <c r="T37" i="39"/>
  <c r="U37" i="39"/>
  <c r="U48" i="39" s="1"/>
  <c r="U53" i="39" s="1"/>
  <c r="R29" i="39"/>
  <c r="R34" i="39" s="1"/>
  <c r="J52" i="16"/>
  <c r="L35" i="23"/>
  <c r="L37" i="23" s="1"/>
  <c r="I48" i="23" s="1"/>
  <c r="I53" i="23" s="1"/>
  <c r="K25" i="40"/>
  <c r="K27" i="40" s="1"/>
  <c r="K47" i="40" s="1"/>
  <c r="T51" i="40"/>
  <c r="D24" i="33"/>
  <c r="D27" i="33" s="1"/>
  <c r="D47" i="33" s="1"/>
  <c r="C24" i="33"/>
  <c r="V37" i="30"/>
  <c r="R37" i="30"/>
  <c r="P41" i="30"/>
  <c r="W37" i="30"/>
  <c r="T37" i="30"/>
  <c r="M29" i="30"/>
  <c r="L24" i="30"/>
  <c r="L25" i="30" s="1"/>
  <c r="U37" i="30"/>
  <c r="M41" i="30"/>
  <c r="L41" i="30" s="1"/>
  <c r="B13" i="31"/>
  <c r="M46" i="8"/>
  <c r="I52" i="9"/>
  <c r="U33" i="36"/>
  <c r="C13" i="31"/>
  <c r="G17" i="31"/>
  <c r="I29" i="33"/>
  <c r="P17" i="8"/>
  <c r="N22" i="9"/>
  <c r="N29" i="9" s="1"/>
  <c r="J52" i="9"/>
  <c r="O37" i="36"/>
  <c r="U24" i="38"/>
  <c r="U27" i="38" s="1"/>
  <c r="U47" i="38" s="1"/>
  <c r="U52" i="38" s="1"/>
  <c r="T22" i="39"/>
  <c r="T29" i="39" s="1"/>
  <c r="T34" i="39" s="1"/>
  <c r="T55" i="12"/>
  <c r="M24" i="13"/>
  <c r="M25" i="13" s="1"/>
  <c r="N55" i="16"/>
  <c r="N52" i="16"/>
  <c r="N51" i="16"/>
  <c r="N50" i="16"/>
  <c r="Q51" i="40"/>
  <c r="K24" i="16"/>
  <c r="K27" i="16" s="1"/>
  <c r="K47" i="16" s="1"/>
  <c r="K29" i="16"/>
  <c r="X22" i="3"/>
  <c r="X29" i="3" s="1"/>
  <c r="X34" i="3" s="1"/>
  <c r="Q34" i="38"/>
  <c r="B17" i="31"/>
  <c r="P22" i="3"/>
  <c r="S34" i="23"/>
  <c r="R37" i="23"/>
  <c r="C48" i="33"/>
  <c r="C53" i="33" s="1"/>
  <c r="T22" i="8"/>
  <c r="T29" i="8" s="1"/>
  <c r="P48" i="35"/>
  <c r="U24" i="39"/>
  <c r="U27" i="39" s="1"/>
  <c r="U47" i="39" s="1"/>
  <c r="U50" i="39" s="1"/>
  <c r="C53" i="46"/>
  <c r="S52" i="40"/>
  <c r="L51" i="16"/>
  <c r="L50" i="16"/>
  <c r="L52" i="16"/>
  <c r="L55" i="16"/>
  <c r="O17" i="27"/>
  <c r="R46" i="30"/>
  <c r="S37" i="30"/>
  <c r="Q22" i="3"/>
  <c r="W33" i="3"/>
  <c r="X37" i="3"/>
  <c r="E29" i="33"/>
  <c r="Q32" i="8"/>
  <c r="P24" i="35"/>
  <c r="P27" i="35" s="1"/>
  <c r="P47" i="35" s="1"/>
  <c r="G48" i="35"/>
  <c r="G53" i="35" s="1"/>
  <c r="Q48" i="35"/>
  <c r="S34" i="38"/>
  <c r="W34" i="39"/>
  <c r="O50" i="16"/>
  <c r="O51" i="16"/>
  <c r="O55" i="16"/>
  <c r="O52" i="16"/>
  <c r="W22" i="3"/>
  <c r="W29" i="3" s="1"/>
  <c r="O29" i="8"/>
  <c r="C52" i="10"/>
  <c r="V37" i="8"/>
  <c r="V48" i="8" s="1"/>
  <c r="N13" i="23"/>
  <c r="L12" i="23"/>
  <c r="E16" i="33"/>
  <c r="E17" i="33" s="1"/>
  <c r="G24" i="33"/>
  <c r="G27" i="33" s="1"/>
  <c r="Q37" i="8"/>
  <c r="V17" i="36"/>
  <c r="V34" i="39"/>
  <c r="O24" i="13"/>
  <c r="O25" i="13" s="1"/>
  <c r="M51" i="16"/>
  <c r="M50" i="16"/>
  <c r="M55" i="16"/>
  <c r="M52" i="16"/>
  <c r="U29" i="30"/>
  <c r="O30" i="27"/>
  <c r="L33" i="3"/>
  <c r="K20" i="3"/>
  <c r="Q24" i="38"/>
  <c r="Q27" i="38" s="1"/>
  <c r="Q47" i="38" s="1"/>
  <c r="Q50" i="38" s="1"/>
  <c r="O22" i="35"/>
  <c r="O29" i="35" s="1"/>
  <c r="O34" i="35" s="1"/>
  <c r="R48" i="27"/>
  <c r="R53" i="27" s="1"/>
  <c r="N24" i="30"/>
  <c r="N27" i="30" s="1"/>
  <c r="S30" i="3"/>
  <c r="O35" i="3"/>
  <c r="V34" i="23"/>
  <c r="M29" i="8"/>
  <c r="L24" i="8"/>
  <c r="L27" i="8" s="1"/>
  <c r="L47" i="8" s="1"/>
  <c r="K52" i="9"/>
  <c r="R34" i="35"/>
  <c r="Q35" i="36"/>
  <c r="T34" i="38"/>
  <c r="G51" i="26"/>
  <c r="G52" i="42"/>
  <c r="N24" i="13"/>
  <c r="N25" i="13" s="1"/>
  <c r="O52" i="45"/>
  <c r="Q50" i="16"/>
  <c r="Q52" i="16"/>
  <c r="Q51" i="16"/>
  <c r="Q55" i="16"/>
  <c r="K37" i="3"/>
  <c r="L52" i="9"/>
  <c r="T24" i="23"/>
  <c r="T27" i="23" s="1"/>
  <c r="J33" i="36"/>
  <c r="I21" i="36"/>
  <c r="I33" i="36" s="1"/>
  <c r="S48" i="27"/>
  <c r="S53" i="27" s="1"/>
  <c r="G35" i="1"/>
  <c r="G37" i="1" s="1"/>
  <c r="V17" i="30"/>
  <c r="N37" i="30"/>
  <c r="N48" i="30" s="1"/>
  <c r="N53" i="30" s="1"/>
  <c r="V24" i="8"/>
  <c r="V27" i="8" s="1"/>
  <c r="V47" i="8" s="1"/>
  <c r="T32" i="8"/>
  <c r="N17" i="9"/>
  <c r="K46" i="9"/>
  <c r="L48" i="35"/>
  <c r="L53" i="35" s="1"/>
  <c r="N22" i="36"/>
  <c r="N29" i="36" s="1"/>
  <c r="R29" i="38"/>
  <c r="R34" i="38" s="1"/>
  <c r="G52" i="26"/>
  <c r="I52" i="42"/>
  <c r="M37" i="23"/>
  <c r="I46" i="35"/>
  <c r="G13" i="35"/>
  <c r="O31" i="3"/>
  <c r="L31" i="3" s="1"/>
  <c r="K31" i="3" s="1"/>
  <c r="J17" i="9"/>
  <c r="T48" i="27"/>
  <c r="T53" i="27" s="1"/>
  <c r="N33" i="3"/>
  <c r="K21" i="3"/>
  <c r="M37" i="8"/>
  <c r="L35" i="8"/>
  <c r="L37" i="8" s="1"/>
  <c r="R37" i="8"/>
  <c r="O17" i="35"/>
  <c r="M48" i="35"/>
  <c r="M53" i="35" s="1"/>
  <c r="J46" i="35"/>
  <c r="S48" i="38"/>
  <c r="S53" i="38" s="1"/>
  <c r="T50" i="12"/>
  <c r="N51" i="45"/>
  <c r="N29" i="35"/>
  <c r="N34" i="35" s="1"/>
  <c r="K22" i="35"/>
  <c r="K16" i="35" s="1"/>
  <c r="K17" i="35" s="1"/>
  <c r="R50" i="16"/>
  <c r="R52" i="16"/>
  <c r="R55" i="16"/>
  <c r="R51" i="16"/>
  <c r="L52" i="27"/>
  <c r="P32" i="8"/>
  <c r="J22" i="36"/>
  <c r="J29" i="36" s="1"/>
  <c r="I16" i="36"/>
  <c r="H52" i="26"/>
  <c r="D48" i="33"/>
  <c r="D53" i="33" s="1"/>
  <c r="Q21" i="36"/>
  <c r="Q33" i="36" s="1"/>
  <c r="E53" i="33"/>
  <c r="N16" i="27"/>
  <c r="N17" i="27" s="1"/>
  <c r="M24" i="27"/>
  <c r="M27" i="27" s="1"/>
  <c r="M47" i="27" s="1"/>
  <c r="M50" i="27" s="1"/>
  <c r="Q37" i="27"/>
  <c r="Q48" i="27" s="1"/>
  <c r="Q53" i="27" s="1"/>
  <c r="D41" i="31"/>
  <c r="D51" i="31" s="1"/>
  <c r="N46" i="3"/>
  <c r="K13" i="3"/>
  <c r="T22" i="3"/>
  <c r="T29" i="3" s="1"/>
  <c r="W17" i="3"/>
  <c r="M22" i="23"/>
  <c r="I16" i="33"/>
  <c r="I17" i="33" s="1"/>
  <c r="C27" i="33"/>
  <c r="C47" i="33" s="1"/>
  <c r="C51" i="33" s="1"/>
  <c r="O46" i="8"/>
  <c r="L13" i="8"/>
  <c r="P35" i="8"/>
  <c r="K46" i="35"/>
  <c r="U37" i="36"/>
  <c r="V29" i="38"/>
  <c r="V34" i="38" s="1"/>
  <c r="T51" i="12"/>
  <c r="P24" i="13"/>
  <c r="P25" i="13" s="1"/>
  <c r="R13" i="30"/>
  <c r="S22" i="8"/>
  <c r="S29" i="8" s="1"/>
  <c r="L46" i="36"/>
  <c r="I13" i="36"/>
  <c r="O32" i="3"/>
  <c r="K37" i="36"/>
  <c r="S50" i="16"/>
  <c r="S51" i="16"/>
  <c r="S55" i="16"/>
  <c r="S52" i="16"/>
  <c r="R41" i="30"/>
  <c r="L51" i="9"/>
  <c r="M37" i="27"/>
  <c r="P24" i="30"/>
  <c r="P27" i="30" s="1"/>
  <c r="P47" i="30" s="1"/>
  <c r="P52" i="30" s="1"/>
  <c r="N24" i="27"/>
  <c r="N27" i="27" s="1"/>
  <c r="N47" i="27" s="1"/>
  <c r="N50" i="27" s="1"/>
  <c r="P13" i="30"/>
  <c r="R24" i="30"/>
  <c r="R27" i="30" s="1"/>
  <c r="R47" i="30" s="1"/>
  <c r="R50" i="30" s="1"/>
  <c r="U22" i="3"/>
  <c r="U29" i="3" s="1"/>
  <c r="U34" i="3" s="1"/>
  <c r="Q22" i="23"/>
  <c r="N37" i="8"/>
  <c r="M32" i="9"/>
  <c r="L32" i="9" s="1"/>
  <c r="O48" i="35"/>
  <c r="O53" i="35" s="1"/>
  <c r="N46" i="35"/>
  <c r="R22" i="36"/>
  <c r="M21" i="36"/>
  <c r="M33" i="36" s="1"/>
  <c r="Q31" i="36"/>
  <c r="P34" i="38"/>
  <c r="X34" i="38"/>
  <c r="O24" i="39"/>
  <c r="O25" i="39" s="1"/>
  <c r="C51" i="10"/>
  <c r="I48" i="42"/>
  <c r="I53" i="42" s="1"/>
  <c r="H52" i="42"/>
  <c r="P48" i="44"/>
  <c r="P53" i="44" s="1"/>
  <c r="N48" i="44"/>
  <c r="N53" i="44" s="1"/>
  <c r="O48" i="44"/>
  <c r="O53" i="44" s="1"/>
  <c r="P55" i="16"/>
  <c r="P50" i="16"/>
  <c r="P52" i="16"/>
  <c r="P51" i="16"/>
  <c r="N24" i="39"/>
  <c r="N25" i="39" s="1"/>
  <c r="K51" i="15"/>
  <c r="K50" i="15"/>
  <c r="K52" i="15"/>
  <c r="K55" i="15"/>
  <c r="C48" i="14"/>
  <c r="C53" i="14" s="1"/>
  <c r="N52" i="25"/>
  <c r="N50" i="25"/>
  <c r="N51" i="25"/>
  <c r="O51" i="25"/>
  <c r="O52" i="25"/>
  <c r="O50" i="25"/>
  <c r="T48" i="44"/>
  <c r="S48" i="44"/>
  <c r="S53" i="44" s="1"/>
  <c r="Q48" i="44"/>
  <c r="Q53" i="44" s="1"/>
  <c r="R48" i="44"/>
  <c r="R53" i="44" s="1"/>
  <c r="P29" i="44"/>
  <c r="P24" i="44"/>
  <c r="P27" i="44" s="1"/>
  <c r="P47" i="44" s="1"/>
  <c r="N24" i="44"/>
  <c r="N27" i="44" s="1"/>
  <c r="N47" i="44" s="1"/>
  <c r="O24" i="44"/>
  <c r="O27" i="44" s="1"/>
  <c r="O47" i="44" s="1"/>
  <c r="M24" i="44"/>
  <c r="M27" i="44" s="1"/>
  <c r="M47" i="44" s="1"/>
  <c r="P51" i="45"/>
  <c r="N52" i="45"/>
  <c r="M55" i="45"/>
  <c r="M51" i="45"/>
  <c r="P52" i="45"/>
  <c r="P37" i="45"/>
  <c r="O55" i="45"/>
  <c r="M52" i="45"/>
  <c r="N55" i="45"/>
  <c r="P55" i="45"/>
  <c r="S55" i="12"/>
  <c r="S52" i="12"/>
  <c r="S51" i="12"/>
  <c r="S50" i="12"/>
  <c r="R52" i="12"/>
  <c r="R55" i="12"/>
  <c r="R51" i="12"/>
  <c r="R50" i="12"/>
  <c r="C52" i="42"/>
  <c r="C51" i="42"/>
  <c r="H51" i="42"/>
  <c r="G51" i="42"/>
  <c r="J51" i="42"/>
  <c r="C50" i="42"/>
  <c r="J52" i="42"/>
  <c r="C55" i="42"/>
  <c r="G48" i="42"/>
  <c r="G53" i="42" s="1"/>
  <c r="F37" i="42"/>
  <c r="F48" i="42" s="1"/>
  <c r="F53" i="42" s="1"/>
  <c r="E35" i="42"/>
  <c r="E37" i="42" s="1"/>
  <c r="F34" i="42"/>
  <c r="H48" i="42"/>
  <c r="H53" i="42" s="1"/>
  <c r="I51" i="42"/>
  <c r="H55" i="26"/>
  <c r="F51" i="26"/>
  <c r="F52" i="26"/>
  <c r="H51" i="26"/>
  <c r="I25" i="26"/>
  <c r="I27" i="26" s="1"/>
  <c r="I47" i="26" s="1"/>
  <c r="F42" i="26"/>
  <c r="G55" i="26"/>
  <c r="O52" i="40"/>
  <c r="R51" i="40"/>
  <c r="R50" i="40"/>
  <c r="Q52" i="40"/>
  <c r="P52" i="40"/>
  <c r="N25" i="40"/>
  <c r="N27" i="40" s="1"/>
  <c r="N47" i="40" s="1"/>
  <c r="R52" i="40"/>
  <c r="U51" i="40"/>
  <c r="M25" i="40"/>
  <c r="M27" i="40" s="1"/>
  <c r="M47" i="40" s="1"/>
  <c r="L25" i="40"/>
  <c r="L27" i="40" s="1"/>
  <c r="L47" i="40" s="1"/>
  <c r="P51" i="40"/>
  <c r="U52" i="40"/>
  <c r="T52" i="40"/>
  <c r="D53" i="10"/>
  <c r="C48" i="10"/>
  <c r="L52" i="10"/>
  <c r="K50" i="10"/>
  <c r="K52" i="10"/>
  <c r="L51" i="10"/>
  <c r="M52" i="10"/>
  <c r="K51" i="10"/>
  <c r="D52" i="10"/>
  <c r="J51" i="10"/>
  <c r="B51" i="10"/>
  <c r="D51" i="10"/>
  <c r="M51" i="10"/>
  <c r="B52" i="10"/>
  <c r="J52" i="10"/>
  <c r="Q34" i="39"/>
  <c r="Q37" i="39"/>
  <c r="Q48" i="39" s="1"/>
  <c r="Q53" i="39" s="1"/>
  <c r="U31" i="39"/>
  <c r="U34" i="39" s="1"/>
  <c r="P37" i="39"/>
  <c r="P52" i="39"/>
  <c r="R48" i="38"/>
  <c r="R53" i="38" s="1"/>
  <c r="U51" i="38"/>
  <c r="U48" i="38"/>
  <c r="U53" i="38" s="1"/>
  <c r="Q55" i="38"/>
  <c r="Q48" i="38"/>
  <c r="Q53" i="38" s="1"/>
  <c r="L55" i="38"/>
  <c r="L52" i="38"/>
  <c r="L51" i="38"/>
  <c r="M24" i="38"/>
  <c r="M27" i="38" s="1"/>
  <c r="M47" i="38" s="1"/>
  <c r="M50" i="38" s="1"/>
  <c r="P36" i="38"/>
  <c r="P37" i="38" s="1"/>
  <c r="P48" i="38" s="1"/>
  <c r="P53" i="38" s="1"/>
  <c r="N24" i="38"/>
  <c r="N27" i="38" s="1"/>
  <c r="N47" i="38" s="1"/>
  <c r="N50" i="38" s="1"/>
  <c r="R24" i="38"/>
  <c r="R27" i="38" s="1"/>
  <c r="R47" i="38" s="1"/>
  <c r="R50" i="38" s="1"/>
  <c r="T48" i="38"/>
  <c r="T53" i="38" s="1"/>
  <c r="O24" i="38"/>
  <c r="O27" i="38" s="1"/>
  <c r="O47" i="38" s="1"/>
  <c r="O50" i="38" s="1"/>
  <c r="S24" i="38"/>
  <c r="S27" i="38" s="1"/>
  <c r="S47" i="38" s="1"/>
  <c r="S50" i="38" s="1"/>
  <c r="O29" i="38"/>
  <c r="O34" i="38" s="1"/>
  <c r="P24" i="38"/>
  <c r="P27" i="38" s="1"/>
  <c r="P47" i="38" s="1"/>
  <c r="P50" i="38" s="1"/>
  <c r="T24" i="38"/>
  <c r="T27" i="38" s="1"/>
  <c r="T47" i="38" s="1"/>
  <c r="M35" i="36"/>
  <c r="N37" i="36"/>
  <c r="R29" i="36"/>
  <c r="R34" i="36" s="1"/>
  <c r="V34" i="36"/>
  <c r="K22" i="36"/>
  <c r="O22" i="36"/>
  <c r="S22" i="36"/>
  <c r="J35" i="36"/>
  <c r="I35" i="36" s="1"/>
  <c r="R36" i="36"/>
  <c r="Q36" i="36" s="1"/>
  <c r="V37" i="36"/>
  <c r="M46" i="36"/>
  <c r="Q46" i="36"/>
  <c r="L22" i="36"/>
  <c r="P22" i="36"/>
  <c r="T22" i="36"/>
  <c r="T29" i="36" s="1"/>
  <c r="P33" i="36"/>
  <c r="T33" i="36"/>
  <c r="S37" i="36"/>
  <c r="J46" i="36"/>
  <c r="N46" i="36"/>
  <c r="M13" i="36"/>
  <c r="Q13" i="36"/>
  <c r="U22" i="36"/>
  <c r="U29" i="36" s="1"/>
  <c r="U34" i="36" s="1"/>
  <c r="K46" i="36"/>
  <c r="O46" i="36"/>
  <c r="M16" i="36"/>
  <c r="Q16" i="36"/>
  <c r="K48" i="35"/>
  <c r="K53" i="35" s="1"/>
  <c r="J48" i="35"/>
  <c r="J53" i="35" s="1"/>
  <c r="H48" i="35"/>
  <c r="H53" i="35" s="1"/>
  <c r="I48" i="35"/>
  <c r="I53" i="35" s="1"/>
  <c r="N48" i="35"/>
  <c r="N53" i="35" s="1"/>
  <c r="P29" i="35"/>
  <c r="P34" i="35" s="1"/>
  <c r="Q24" i="35"/>
  <c r="Q27" i="35" s="1"/>
  <c r="Q47" i="35" s="1"/>
  <c r="M29" i="35"/>
  <c r="M34" i="35" s="1"/>
  <c r="Q29" i="35"/>
  <c r="Q34" i="35" s="1"/>
  <c r="H46" i="35"/>
  <c r="L46" i="35"/>
  <c r="K13" i="35"/>
  <c r="O13" i="35"/>
  <c r="J29" i="9"/>
  <c r="I16" i="9"/>
  <c r="N35" i="9"/>
  <c r="L46" i="9"/>
  <c r="I51" i="9"/>
  <c r="P51" i="9"/>
  <c r="O37" i="9"/>
  <c r="I46" i="9"/>
  <c r="M46" i="9"/>
  <c r="J51" i="9"/>
  <c r="P52" i="9"/>
  <c r="L13" i="9"/>
  <c r="N55" i="8"/>
  <c r="N52" i="8"/>
  <c r="R29" i="8"/>
  <c r="P13" i="8"/>
  <c r="T13" i="8"/>
  <c r="T35" i="8"/>
  <c r="T37" i="8" s="1"/>
  <c r="P36" i="8"/>
  <c r="P37" i="8" s="1"/>
  <c r="P46" i="8"/>
  <c r="T46" i="8"/>
  <c r="N51" i="8"/>
  <c r="O24" i="8"/>
  <c r="O27" i="8" s="1"/>
  <c r="O47" i="8" s="1"/>
  <c r="O50" i="8" s="1"/>
  <c r="Q46" i="8"/>
  <c r="R17" i="8"/>
  <c r="T24" i="8"/>
  <c r="T27" i="8" s="1"/>
  <c r="T47" i="8" s="1"/>
  <c r="T50" i="8" s="1"/>
  <c r="R46" i="8"/>
  <c r="M24" i="8"/>
  <c r="M27" i="8" s="1"/>
  <c r="M47" i="8" s="1"/>
  <c r="M50" i="8" s="1"/>
  <c r="U24" i="8"/>
  <c r="U27" i="8" s="1"/>
  <c r="U47" i="8" s="1"/>
  <c r="E24" i="33"/>
  <c r="E27" i="33" s="1"/>
  <c r="E47" i="33" s="1"/>
  <c r="E50" i="33" s="1"/>
  <c r="F24" i="33"/>
  <c r="F27" i="33" s="1"/>
  <c r="F29" i="33"/>
  <c r="F41" i="33"/>
  <c r="E51" i="33"/>
  <c r="U32" i="23"/>
  <c r="T32" i="23" s="1"/>
  <c r="T34" i="23" s="1"/>
  <c r="P13" i="23"/>
  <c r="N22" i="23"/>
  <c r="R22" i="23"/>
  <c r="U24" i="23"/>
  <c r="U27" i="23" s="1"/>
  <c r="U29" i="23"/>
  <c r="M46" i="23"/>
  <c r="V24" i="23"/>
  <c r="V27" i="23" s="1"/>
  <c r="N46" i="23"/>
  <c r="S24" i="23"/>
  <c r="S27" i="23" s="1"/>
  <c r="Q35" i="23"/>
  <c r="P35" i="23" s="1"/>
  <c r="P29" i="3"/>
  <c r="P34" i="3" s="1"/>
  <c r="Q29" i="3"/>
  <c r="Q34" i="3" s="1"/>
  <c r="L37" i="3"/>
  <c r="W34" i="3"/>
  <c r="O16" i="3"/>
  <c r="S16" i="3"/>
  <c r="K22" i="3"/>
  <c r="H24" i="3" s="1"/>
  <c r="H27" i="3" s="1"/>
  <c r="H47" i="3" s="1"/>
  <c r="R22" i="3"/>
  <c r="V22" i="3"/>
  <c r="V29" i="3" s="1"/>
  <c r="V34" i="3" s="1"/>
  <c r="T31" i="3"/>
  <c r="S31" i="3" s="1"/>
  <c r="T32" i="3"/>
  <c r="S32" i="3" s="1"/>
  <c r="P36" i="3"/>
  <c r="O36" i="3" s="1"/>
  <c r="M37" i="3"/>
  <c r="Q37" i="3"/>
  <c r="U37" i="3"/>
  <c r="U48" i="3" s="1"/>
  <c r="U53" i="3" s="1"/>
  <c r="O46" i="3"/>
  <c r="S46" i="3"/>
  <c r="T35" i="3"/>
  <c r="L46" i="3"/>
  <c r="P46" i="3"/>
  <c r="T46" i="3"/>
  <c r="X17" i="3"/>
  <c r="S21" i="3"/>
  <c r="S33" i="3" s="1"/>
  <c r="M46" i="3"/>
  <c r="Q46" i="3"/>
  <c r="P17" i="3"/>
  <c r="T17" i="3"/>
  <c r="O21" i="3"/>
  <c r="O33" i="3" s="1"/>
  <c r="O13" i="3"/>
  <c r="S13" i="3"/>
  <c r="Q17" i="3"/>
  <c r="U17" i="3"/>
  <c r="M34" i="3"/>
  <c r="D13" i="31"/>
  <c r="H17" i="31"/>
  <c r="D17" i="31"/>
  <c r="B22" i="31"/>
  <c r="B48" i="31"/>
  <c r="B53" i="31" s="1"/>
  <c r="D55" i="31"/>
  <c r="C22" i="31"/>
  <c r="H22" i="31"/>
  <c r="C41" i="31"/>
  <c r="D52" i="31"/>
  <c r="T48" i="30"/>
  <c r="N47" i="30"/>
  <c r="N50" i="30" s="1"/>
  <c r="O53" i="30"/>
  <c r="O47" i="30"/>
  <c r="O50" i="30" s="1"/>
  <c r="W17" i="30"/>
  <c r="O24" i="30"/>
  <c r="O27" i="30" s="1"/>
  <c r="S24" i="30"/>
  <c r="S27" i="30" s="1"/>
  <c r="S47" i="30" s="1"/>
  <c r="N29" i="30"/>
  <c r="T29" i="30"/>
  <c r="S46" i="30"/>
  <c r="T24" i="30"/>
  <c r="T27" i="30" s="1"/>
  <c r="T47" i="30" s="1"/>
  <c r="M37" i="30"/>
  <c r="T46" i="30"/>
  <c r="U17" i="30"/>
  <c r="M24" i="30"/>
  <c r="Q24" i="30"/>
  <c r="Q27" i="30" s="1"/>
  <c r="Q47" i="30" s="1"/>
  <c r="Q50" i="30" s="1"/>
  <c r="R29" i="30"/>
  <c r="V29" i="30"/>
  <c r="Q46" i="30"/>
  <c r="Q13" i="30"/>
  <c r="D29" i="1"/>
  <c r="D24" i="1"/>
  <c r="D27" i="1" s="1"/>
  <c r="D47" i="1" s="1"/>
  <c r="D50" i="1" s="1"/>
  <c r="F24" i="1"/>
  <c r="F27" i="1" s="1"/>
  <c r="F47" i="1" s="1"/>
  <c r="F29" i="1"/>
  <c r="E24" i="1"/>
  <c r="E27" i="1" s="1"/>
  <c r="E47" i="1" s="1"/>
  <c r="E50" i="1" s="1"/>
  <c r="B37" i="1"/>
  <c r="B48" i="1" s="1"/>
  <c r="B53" i="1" s="1"/>
  <c r="C16" i="1"/>
  <c r="E29" i="1"/>
  <c r="E46" i="1"/>
  <c r="D17" i="1"/>
  <c r="B46" i="1"/>
  <c r="F46" i="1"/>
  <c r="C46" i="1"/>
  <c r="F17" i="1"/>
  <c r="N55" i="27"/>
  <c r="O55" i="27"/>
  <c r="P52" i="27"/>
  <c r="P51" i="27"/>
  <c r="P55" i="27"/>
  <c r="P50" i="27"/>
  <c r="R51" i="27"/>
  <c r="R55" i="27"/>
  <c r="R50" i="27"/>
  <c r="R52" i="27"/>
  <c r="P31" i="27"/>
  <c r="O31" i="27" s="1"/>
  <c r="S55" i="27"/>
  <c r="S50" i="27"/>
  <c r="S52" i="27"/>
  <c r="S51" i="27"/>
  <c r="Q52" i="27"/>
  <c r="Q51" i="27"/>
  <c r="Q55" i="27"/>
  <c r="Q50" i="27"/>
  <c r="T52" i="27"/>
  <c r="T51" i="27"/>
  <c r="T55" i="27"/>
  <c r="T50" i="27"/>
  <c r="L35" i="27"/>
  <c r="L37" i="27" s="1"/>
  <c r="P36" i="27"/>
  <c r="O36" i="27" s="1"/>
  <c r="O46" i="27"/>
  <c r="O51" i="27"/>
  <c r="L55" i="27"/>
  <c r="L46" i="27"/>
  <c r="L51" i="27"/>
  <c r="O52" i="27"/>
  <c r="O13" i="27"/>
  <c r="M46" i="27"/>
  <c r="P35" i="27"/>
  <c r="U55" i="34"/>
  <c r="T55" i="34"/>
  <c r="S55" i="34"/>
  <c r="R55" i="34"/>
  <c r="Q55" i="34"/>
  <c r="P55" i="34"/>
  <c r="O55" i="34"/>
  <c r="N55" i="34"/>
  <c r="M55" i="34"/>
  <c r="L55" i="34"/>
  <c r="K55" i="34"/>
  <c r="R41" i="34"/>
  <c r="R40" i="34" s="1"/>
  <c r="Q41" i="34"/>
  <c r="Q40" i="34" s="1"/>
  <c r="P41" i="34"/>
  <c r="P40" i="34" s="1"/>
  <c r="O41" i="34"/>
  <c r="O40" i="34" s="1"/>
  <c r="N40" i="34"/>
  <c r="M40" i="34"/>
  <c r="L40" i="34"/>
  <c r="K40" i="34"/>
  <c r="U37" i="34"/>
  <c r="Q37" i="34"/>
  <c r="M37" i="34"/>
  <c r="T36" i="34"/>
  <c r="P36" i="34"/>
  <c r="O36" i="34" s="1"/>
  <c r="N36" i="34" s="1"/>
  <c r="L36" i="34"/>
  <c r="K36" i="34" s="1"/>
  <c r="J36" i="34" s="1"/>
  <c r="T35" i="34"/>
  <c r="P35" i="34"/>
  <c r="P37" i="34" s="1"/>
  <c r="L35" i="34"/>
  <c r="U32" i="34"/>
  <c r="R32" i="34"/>
  <c r="Q32" i="34"/>
  <c r="M32" i="34"/>
  <c r="T31" i="34"/>
  <c r="S31" i="34" s="1"/>
  <c r="R31" i="34" s="1"/>
  <c r="P31" i="34"/>
  <c r="O31" i="34" s="1"/>
  <c r="N31" i="34" s="1"/>
  <c r="L31" i="34"/>
  <c r="K31" i="34" s="1"/>
  <c r="J31" i="34" s="1"/>
  <c r="T30" i="34"/>
  <c r="S30" i="34" s="1"/>
  <c r="R30" i="34" s="1"/>
  <c r="P30" i="34"/>
  <c r="O30" i="34" s="1"/>
  <c r="N30" i="34" s="1"/>
  <c r="L30" i="34"/>
  <c r="K30" i="34" s="1"/>
  <c r="J30" i="34" s="1"/>
  <c r="U22" i="34"/>
  <c r="U29" i="34" s="1"/>
  <c r="T22" i="34"/>
  <c r="T29" i="34" s="1"/>
  <c r="S22" i="34"/>
  <c r="S29" i="34" s="1"/>
  <c r="R22" i="34"/>
  <c r="R29" i="34" s="1"/>
  <c r="Q22" i="34"/>
  <c r="P22" i="34"/>
  <c r="O22" i="34"/>
  <c r="O29" i="34" s="1"/>
  <c r="N22" i="34"/>
  <c r="N29" i="34" s="1"/>
  <c r="M22" i="34"/>
  <c r="L22" i="34"/>
  <c r="K22" i="34"/>
  <c r="U17" i="34"/>
  <c r="T17" i="34"/>
  <c r="S17" i="34"/>
  <c r="Q17" i="34"/>
  <c r="O17" i="34"/>
  <c r="M17" i="34"/>
  <c r="K17" i="34"/>
  <c r="Q13" i="34"/>
  <c r="O13" i="34"/>
  <c r="M13" i="34"/>
  <c r="K13" i="34"/>
  <c r="R12" i="34"/>
  <c r="Q46" i="34" s="1"/>
  <c r="P12" i="34"/>
  <c r="N12" i="34" s="1"/>
  <c r="M46" i="34" s="1"/>
  <c r="L12" i="34"/>
  <c r="R10" i="34"/>
  <c r="S10" i="34" s="1"/>
  <c r="T10" i="34" s="1"/>
  <c r="U10" i="34" s="1"/>
  <c r="F57" i="2"/>
  <c r="I53" i="47" l="1"/>
  <c r="H48" i="47"/>
  <c r="L37" i="34"/>
  <c r="B42" i="24"/>
  <c r="B55" i="24" s="1"/>
  <c r="C55" i="24"/>
  <c r="G53" i="19"/>
  <c r="F53" i="19"/>
  <c r="S51" i="38"/>
  <c r="D51" i="33"/>
  <c r="D52" i="33"/>
  <c r="J51" i="16"/>
  <c r="F35" i="1"/>
  <c r="F37" i="1" s="1"/>
  <c r="C48" i="1" s="1"/>
  <c r="C53" i="1" s="1"/>
  <c r="Q24" i="8"/>
  <c r="Q27" i="8" s="1"/>
  <c r="Q47" i="8" s="1"/>
  <c r="Q50" i="8" s="1"/>
  <c r="S48" i="30"/>
  <c r="J55" i="16"/>
  <c r="P24" i="8"/>
  <c r="P27" i="8" s="1"/>
  <c r="P47" i="8" s="1"/>
  <c r="P50" i="8" s="1"/>
  <c r="K48" i="27"/>
  <c r="K53" i="27" s="1"/>
  <c r="Q37" i="36"/>
  <c r="P55" i="39"/>
  <c r="P50" i="30"/>
  <c r="H16" i="9"/>
  <c r="H17" i="9" s="1"/>
  <c r="K48" i="8"/>
  <c r="K53" i="8" s="1"/>
  <c r="I48" i="8"/>
  <c r="I53" i="8" s="1"/>
  <c r="J48" i="8"/>
  <c r="J53" i="8" s="1"/>
  <c r="C50" i="33"/>
  <c r="U34" i="23"/>
  <c r="C52" i="33"/>
  <c r="O50" i="40"/>
  <c r="J55" i="8"/>
  <c r="J52" i="8"/>
  <c r="J50" i="8"/>
  <c r="J51" i="8"/>
  <c r="H24" i="34"/>
  <c r="H27" i="34" s="1"/>
  <c r="H47" i="34" s="1"/>
  <c r="I24" i="34"/>
  <c r="I27" i="34" s="1"/>
  <c r="I47" i="34" s="1"/>
  <c r="N51" i="27"/>
  <c r="J12" i="34"/>
  <c r="H13" i="34"/>
  <c r="R48" i="30"/>
  <c r="R53" i="30" s="1"/>
  <c r="I46" i="23"/>
  <c r="H13" i="23"/>
  <c r="J24" i="34"/>
  <c r="J27" i="34" s="1"/>
  <c r="J47" i="34" s="1"/>
  <c r="K29" i="34"/>
  <c r="L32" i="34"/>
  <c r="K32" i="34" s="1"/>
  <c r="J32" i="34" s="1"/>
  <c r="D52" i="1"/>
  <c r="T50" i="38"/>
  <c r="T55" i="38"/>
  <c r="F55" i="26"/>
  <c r="E42" i="26"/>
  <c r="H50" i="3"/>
  <c r="H55" i="3"/>
  <c r="H52" i="3"/>
  <c r="H51" i="3"/>
  <c r="J48" i="3"/>
  <c r="J53" i="3" s="1"/>
  <c r="I48" i="3"/>
  <c r="I53" i="3" s="1"/>
  <c r="H48" i="3"/>
  <c r="H53" i="3" s="1"/>
  <c r="L47" i="45"/>
  <c r="L51" i="45" s="1"/>
  <c r="K25" i="45"/>
  <c r="K27" i="45" s="1"/>
  <c r="N52" i="27"/>
  <c r="D50" i="33"/>
  <c r="P51" i="30"/>
  <c r="K51" i="8"/>
  <c r="K52" i="8"/>
  <c r="K55" i="8"/>
  <c r="K50" i="8"/>
  <c r="B24" i="31"/>
  <c r="B27" i="31" s="1"/>
  <c r="B47" i="31" s="1"/>
  <c r="B50" i="31" s="1"/>
  <c r="I42" i="25"/>
  <c r="J55" i="25"/>
  <c r="U55" i="38"/>
  <c r="J48" i="27"/>
  <c r="J53" i="27" s="1"/>
  <c r="I48" i="27"/>
  <c r="I53" i="27" s="1"/>
  <c r="K50" i="27"/>
  <c r="K51" i="27"/>
  <c r="K55" i="27"/>
  <c r="K52" i="27"/>
  <c r="J48" i="30"/>
  <c r="J53" i="30" s="1"/>
  <c r="K48" i="30"/>
  <c r="L48" i="30"/>
  <c r="M55" i="27"/>
  <c r="I50" i="16"/>
  <c r="I51" i="16"/>
  <c r="I52" i="16"/>
  <c r="J48" i="23"/>
  <c r="J53" i="23" s="1"/>
  <c r="K46" i="23"/>
  <c r="J46" i="23"/>
  <c r="J24" i="3"/>
  <c r="J27" i="3" s="1"/>
  <c r="J47" i="3" s="1"/>
  <c r="J52" i="3" s="1"/>
  <c r="I24" i="3"/>
  <c r="J50" i="34"/>
  <c r="J52" i="34"/>
  <c r="J51" i="34"/>
  <c r="Q52" i="38"/>
  <c r="U50" i="38"/>
  <c r="S52" i="38"/>
  <c r="Q51" i="38"/>
  <c r="T48" i="39"/>
  <c r="T53" i="39" s="1"/>
  <c r="U55" i="39"/>
  <c r="P51" i="39"/>
  <c r="R48" i="39"/>
  <c r="R53" i="39" s="1"/>
  <c r="S24" i="39"/>
  <c r="S27" i="39" s="1"/>
  <c r="S47" i="39" s="1"/>
  <c r="S51" i="39" s="1"/>
  <c r="U51" i="39"/>
  <c r="S48" i="39"/>
  <c r="S53" i="39" s="1"/>
  <c r="T24" i="39"/>
  <c r="T27" i="39" s="1"/>
  <c r="T47" i="39" s="1"/>
  <c r="T51" i="39" s="1"/>
  <c r="R24" i="39"/>
  <c r="R27" i="39" s="1"/>
  <c r="R47" i="39" s="1"/>
  <c r="R50" i="39" s="1"/>
  <c r="Q24" i="39"/>
  <c r="Q27" i="39" s="1"/>
  <c r="Q47" i="39" s="1"/>
  <c r="Q51" i="39" s="1"/>
  <c r="O27" i="39"/>
  <c r="O47" i="39" s="1"/>
  <c r="N27" i="39"/>
  <c r="N47" i="39" s="1"/>
  <c r="J50" i="3"/>
  <c r="J55" i="3"/>
  <c r="J51" i="3"/>
  <c r="L48" i="23"/>
  <c r="L53" i="23" s="1"/>
  <c r="K48" i="23"/>
  <c r="K53" i="23" s="1"/>
  <c r="K52" i="40"/>
  <c r="K51" i="40"/>
  <c r="K50" i="40"/>
  <c r="U48" i="30"/>
  <c r="V48" i="30"/>
  <c r="R52" i="30"/>
  <c r="L27" i="30"/>
  <c r="L47" i="30" s="1"/>
  <c r="M24" i="34"/>
  <c r="O24" i="35"/>
  <c r="M29" i="23"/>
  <c r="M34" i="23" s="1"/>
  <c r="L22" i="23"/>
  <c r="I24" i="23" s="1"/>
  <c r="I27" i="23" s="1"/>
  <c r="I47" i="23" s="1"/>
  <c r="L46" i="23"/>
  <c r="L13" i="23"/>
  <c r="K55" i="16"/>
  <c r="K52" i="16"/>
  <c r="K50" i="16"/>
  <c r="K51" i="16"/>
  <c r="P17" i="34"/>
  <c r="D51" i="1"/>
  <c r="R24" i="8"/>
  <c r="R27" i="8" s="1"/>
  <c r="R47" i="8" s="1"/>
  <c r="R50" i="8" s="1"/>
  <c r="Q29" i="23"/>
  <c r="Q34" i="23" s="1"/>
  <c r="P22" i="23"/>
  <c r="P16" i="23" s="1"/>
  <c r="P17" i="23" s="1"/>
  <c r="U52" i="39"/>
  <c r="F48" i="1"/>
  <c r="P13" i="34"/>
  <c r="T48" i="8"/>
  <c r="T53" i="8" s="1"/>
  <c r="U48" i="8"/>
  <c r="L46" i="34"/>
  <c r="R51" i="30"/>
  <c r="T16" i="8"/>
  <c r="T17" i="8" s="1"/>
  <c r="O35" i="34"/>
  <c r="O37" i="34" s="1"/>
  <c r="D53" i="31"/>
  <c r="S24" i="8"/>
  <c r="S27" i="8" s="1"/>
  <c r="S47" i="8" s="1"/>
  <c r="S55" i="8" s="1"/>
  <c r="S55" i="38"/>
  <c r="K33" i="3"/>
  <c r="M52" i="27"/>
  <c r="E52" i="1"/>
  <c r="I17" i="36"/>
  <c r="I22" i="36"/>
  <c r="F24" i="36" s="1"/>
  <c r="F25" i="36" s="1"/>
  <c r="F27" i="36" s="1"/>
  <c r="F47" i="36" s="1"/>
  <c r="P24" i="34"/>
  <c r="S48" i="36"/>
  <c r="S53" i="36" s="1"/>
  <c r="K48" i="3"/>
  <c r="K53" i="3" s="1"/>
  <c r="L55" i="8"/>
  <c r="L51" i="8"/>
  <c r="L50" i="8"/>
  <c r="L52" i="8"/>
  <c r="K29" i="3"/>
  <c r="K24" i="3"/>
  <c r="K27" i="3" s="1"/>
  <c r="K47" i="3" s="1"/>
  <c r="K16" i="3"/>
  <c r="K17" i="3" s="1"/>
  <c r="Q24" i="34"/>
  <c r="T37" i="34"/>
  <c r="P37" i="27"/>
  <c r="P48" i="27" s="1"/>
  <c r="P53" i="27" s="1"/>
  <c r="E48" i="1"/>
  <c r="E53" i="1" s="1"/>
  <c r="Q51" i="8"/>
  <c r="L48" i="8"/>
  <c r="L53" i="8" s="1"/>
  <c r="M51" i="27"/>
  <c r="L34" i="3"/>
  <c r="I37" i="36"/>
  <c r="N55" i="38"/>
  <c r="E55" i="1"/>
  <c r="D48" i="1"/>
  <c r="D53" i="1" s="1"/>
  <c r="K29" i="35"/>
  <c r="K34" i="35" s="1"/>
  <c r="T34" i="36"/>
  <c r="N52" i="38"/>
  <c r="P46" i="34"/>
  <c r="L24" i="34"/>
  <c r="L25" i="34" s="1"/>
  <c r="L27" i="34" s="1"/>
  <c r="L47" i="34" s="1"/>
  <c r="O35" i="27"/>
  <c r="O37" i="27" s="1"/>
  <c r="E51" i="1"/>
  <c r="D55" i="1"/>
  <c r="M48" i="30"/>
  <c r="M53" i="30" s="1"/>
  <c r="O51" i="8"/>
  <c r="M50" i="44"/>
  <c r="M52" i="44"/>
  <c r="M55" i="44"/>
  <c r="M51" i="44"/>
  <c r="O50" i="44"/>
  <c r="O52" i="44"/>
  <c r="O55" i="44"/>
  <c r="O51" i="44"/>
  <c r="N50" i="44"/>
  <c r="N52" i="44"/>
  <c r="N51" i="44"/>
  <c r="N55" i="44"/>
  <c r="P50" i="44"/>
  <c r="P52" i="44"/>
  <c r="P51" i="44"/>
  <c r="P55" i="44"/>
  <c r="P48" i="45"/>
  <c r="P53" i="45" s="1"/>
  <c r="O48" i="45"/>
  <c r="O53" i="45" s="1"/>
  <c r="N48" i="45"/>
  <c r="N53" i="45" s="1"/>
  <c r="M48" i="45"/>
  <c r="M53" i="45" s="1"/>
  <c r="E48" i="42"/>
  <c r="E53" i="42" s="1"/>
  <c r="C48" i="42"/>
  <c r="C53" i="42" s="1"/>
  <c r="B48" i="42"/>
  <c r="B53" i="42" s="1"/>
  <c r="D48" i="42"/>
  <c r="D53" i="42" s="1"/>
  <c r="I50" i="26"/>
  <c r="I55" i="26"/>
  <c r="I51" i="26"/>
  <c r="I52" i="26"/>
  <c r="L50" i="40"/>
  <c r="L52" i="40"/>
  <c r="L51" i="40"/>
  <c r="M50" i="40"/>
  <c r="M52" i="40"/>
  <c r="M51" i="40"/>
  <c r="N50" i="40"/>
  <c r="N51" i="40"/>
  <c r="N52" i="40"/>
  <c r="C53" i="10"/>
  <c r="B48" i="10"/>
  <c r="B53" i="10" s="1"/>
  <c r="Q50" i="39"/>
  <c r="Q55" i="39"/>
  <c r="P48" i="39"/>
  <c r="P53" i="39" s="1"/>
  <c r="N48" i="39"/>
  <c r="N53" i="39" s="1"/>
  <c r="M48" i="39"/>
  <c r="M53" i="39" s="1"/>
  <c r="O48" i="39"/>
  <c r="O53" i="39" s="1"/>
  <c r="O51" i="38"/>
  <c r="R52" i="38"/>
  <c r="P52" i="38"/>
  <c r="M52" i="38"/>
  <c r="R55" i="38"/>
  <c r="P55" i="38"/>
  <c r="M55" i="38"/>
  <c r="O52" i="38"/>
  <c r="R51" i="38"/>
  <c r="O55" i="38"/>
  <c r="N51" i="38"/>
  <c r="T51" i="38"/>
  <c r="M51" i="38"/>
  <c r="O48" i="38"/>
  <c r="O53" i="38" s="1"/>
  <c r="P51" i="38"/>
  <c r="T52" i="38"/>
  <c r="R37" i="36"/>
  <c r="R48" i="36" s="1"/>
  <c r="R53" i="36" s="1"/>
  <c r="O29" i="36"/>
  <c r="O34" i="36" s="1"/>
  <c r="Q22" i="36"/>
  <c r="N24" i="36" s="1"/>
  <c r="N27" i="36" s="1"/>
  <c r="N47" i="36" s="1"/>
  <c r="Q17" i="36"/>
  <c r="P29" i="36"/>
  <c r="P34" i="36" s="1"/>
  <c r="K29" i="36"/>
  <c r="K34" i="36" s="1"/>
  <c r="M22" i="36"/>
  <c r="M17" i="36"/>
  <c r="L29" i="36"/>
  <c r="L34" i="36" s="1"/>
  <c r="J37" i="36"/>
  <c r="J34" i="36"/>
  <c r="N48" i="36"/>
  <c r="N53" i="36" s="1"/>
  <c r="S29" i="36"/>
  <c r="S34" i="36" s="1"/>
  <c r="S24" i="36"/>
  <c r="S27" i="36" s="1"/>
  <c r="S47" i="36" s="1"/>
  <c r="R24" i="36"/>
  <c r="R27" i="36" s="1"/>
  <c r="R47" i="36" s="1"/>
  <c r="M37" i="36"/>
  <c r="N24" i="35"/>
  <c r="O27" i="35"/>
  <c r="O47" i="35" s="1"/>
  <c r="J29" i="35"/>
  <c r="J34" i="35" s="1"/>
  <c r="J17" i="35"/>
  <c r="M29" i="9"/>
  <c r="J37" i="9"/>
  <c r="I35" i="9"/>
  <c r="N37" i="9"/>
  <c r="M35" i="9"/>
  <c r="M37" i="9" s="1"/>
  <c r="I17" i="9"/>
  <c r="I22" i="9"/>
  <c r="H22" i="9" s="1"/>
  <c r="H21" i="9" s="1"/>
  <c r="P48" i="8"/>
  <c r="P53" i="8" s="1"/>
  <c r="M48" i="8"/>
  <c r="M53" i="8" s="1"/>
  <c r="N48" i="8"/>
  <c r="N53" i="8" s="1"/>
  <c r="O48" i="8"/>
  <c r="O53" i="8" s="1"/>
  <c r="T52" i="8"/>
  <c r="Q52" i="8"/>
  <c r="Q55" i="8"/>
  <c r="Q48" i="8"/>
  <c r="Q53" i="8" s="1"/>
  <c r="S48" i="8"/>
  <c r="S53" i="8" s="1"/>
  <c r="M51" i="8"/>
  <c r="M55" i="8"/>
  <c r="O52" i="8"/>
  <c r="T55" i="8"/>
  <c r="M52" i="8"/>
  <c r="R48" i="8"/>
  <c r="R53" i="8" s="1"/>
  <c r="T51" i="8"/>
  <c r="O55" i="8"/>
  <c r="E52" i="33"/>
  <c r="F53" i="33"/>
  <c r="F52" i="33"/>
  <c r="F51" i="33"/>
  <c r="Q37" i="23"/>
  <c r="R29" i="23"/>
  <c r="R34" i="23" s="1"/>
  <c r="R24" i="23"/>
  <c r="R27" i="23" s="1"/>
  <c r="O29" i="23"/>
  <c r="O34" i="23" s="1"/>
  <c r="N29" i="23"/>
  <c r="N34" i="23" s="1"/>
  <c r="Q24" i="23"/>
  <c r="Q27" i="23" s="1"/>
  <c r="T37" i="3"/>
  <c r="T48" i="3" s="1"/>
  <c r="T53" i="3" s="1"/>
  <c r="T34" i="3"/>
  <c r="N29" i="3"/>
  <c r="N34" i="3" s="1"/>
  <c r="P37" i="3"/>
  <c r="U24" i="3"/>
  <c r="U27" i="3" s="1"/>
  <c r="U47" i="3" s="1"/>
  <c r="O37" i="3"/>
  <c r="L48" i="3" s="1"/>
  <c r="L53" i="3" s="1"/>
  <c r="S22" i="3"/>
  <c r="Q24" i="3" s="1"/>
  <c r="Q27" i="3" s="1"/>
  <c r="Q47" i="3" s="1"/>
  <c r="S17" i="3"/>
  <c r="O22" i="3"/>
  <c r="O17" i="3"/>
  <c r="T24" i="3"/>
  <c r="T27" i="3" s="1"/>
  <c r="T47" i="3" s="1"/>
  <c r="S35" i="3"/>
  <c r="R29" i="3"/>
  <c r="R34" i="3" s="1"/>
  <c r="C55" i="31"/>
  <c r="C51" i="31"/>
  <c r="C52" i="31"/>
  <c r="C53" i="31"/>
  <c r="M25" i="30"/>
  <c r="M27" i="30" s="1"/>
  <c r="M47" i="30" s="1"/>
  <c r="O51" i="30"/>
  <c r="N52" i="30"/>
  <c r="Q51" i="30"/>
  <c r="Q52" i="30"/>
  <c r="O52" i="30"/>
  <c r="N51" i="30"/>
  <c r="B16" i="1"/>
  <c r="C22" i="1"/>
  <c r="C17" i="1"/>
  <c r="M25" i="34"/>
  <c r="M27" i="34" s="1"/>
  <c r="M47" i="34" s="1"/>
  <c r="P25" i="34"/>
  <c r="P27" i="34" s="1"/>
  <c r="P47" i="34" s="1"/>
  <c r="N24" i="34"/>
  <c r="R24" i="34"/>
  <c r="P32" i="34"/>
  <c r="O32" i="34" s="1"/>
  <c r="N32" i="34" s="1"/>
  <c r="T32" i="34"/>
  <c r="S32" i="34" s="1"/>
  <c r="S35" i="34"/>
  <c r="S36" i="34"/>
  <c r="R36" i="34" s="1"/>
  <c r="N46" i="34"/>
  <c r="R46" i="34"/>
  <c r="L13" i="34"/>
  <c r="O24" i="34"/>
  <c r="L29" i="34"/>
  <c r="P29" i="34"/>
  <c r="K46" i="34"/>
  <c r="O46" i="34"/>
  <c r="L17" i="34"/>
  <c r="K24" i="34"/>
  <c r="K27" i="34" s="1"/>
  <c r="K47" i="34" s="1"/>
  <c r="N17" i="34"/>
  <c r="R17" i="34"/>
  <c r="M29" i="34"/>
  <c r="Q29" i="34"/>
  <c r="K35" i="34"/>
  <c r="N13" i="34"/>
  <c r="R35" i="34"/>
  <c r="T55" i="49"/>
  <c r="S55" i="49"/>
  <c r="R55" i="49"/>
  <c r="Q55" i="49"/>
  <c r="P55" i="49"/>
  <c r="O55" i="49"/>
  <c r="N55" i="49"/>
  <c r="M40" i="49"/>
  <c r="M41" i="49" s="1"/>
  <c r="T37" i="49"/>
  <c r="S37" i="49"/>
  <c r="R37" i="49"/>
  <c r="Q37" i="49"/>
  <c r="P37" i="49"/>
  <c r="O37" i="49"/>
  <c r="K48" i="49" s="1"/>
  <c r="K53" i="49" s="1"/>
  <c r="N37" i="49"/>
  <c r="T33" i="49"/>
  <c r="S33" i="49"/>
  <c r="R33" i="49"/>
  <c r="Q33" i="49"/>
  <c r="P33" i="49"/>
  <c r="T22" i="49"/>
  <c r="T29" i="49" s="1"/>
  <c r="S22" i="49"/>
  <c r="S29" i="49" s="1"/>
  <c r="R22" i="49"/>
  <c r="R29" i="49" s="1"/>
  <c r="Q22" i="49"/>
  <c r="P22" i="49"/>
  <c r="P29" i="49" s="1"/>
  <c r="O22" i="49"/>
  <c r="O29" i="49" s="1"/>
  <c r="O34" i="49" s="1"/>
  <c r="N22" i="49"/>
  <c r="M22" i="49"/>
  <c r="T17" i="49"/>
  <c r="S17" i="49"/>
  <c r="R17" i="49"/>
  <c r="Q17" i="49"/>
  <c r="P17" i="49"/>
  <c r="O17" i="49"/>
  <c r="N17" i="49"/>
  <c r="M17" i="49"/>
  <c r="P13" i="49"/>
  <c r="O13" i="49"/>
  <c r="N13" i="49"/>
  <c r="M13" i="49"/>
  <c r="L52" i="45" l="1"/>
  <c r="L55" i="45"/>
  <c r="H53" i="47"/>
  <c r="G48" i="47"/>
  <c r="P51" i="8"/>
  <c r="P34" i="49"/>
  <c r="P55" i="8"/>
  <c r="P52" i="8"/>
  <c r="J48" i="36"/>
  <c r="J53" i="36" s="1"/>
  <c r="I55" i="25"/>
  <c r="H42" i="25"/>
  <c r="B51" i="31"/>
  <c r="S52" i="8"/>
  <c r="F55" i="36"/>
  <c r="F52" i="36"/>
  <c r="F51" i="36"/>
  <c r="F50" i="36"/>
  <c r="D42" i="26"/>
  <c r="E55" i="26"/>
  <c r="H50" i="34"/>
  <c r="H52" i="34"/>
  <c r="H51" i="34"/>
  <c r="K47" i="45"/>
  <c r="J27" i="45"/>
  <c r="B55" i="31"/>
  <c r="R51" i="8"/>
  <c r="K37" i="34"/>
  <c r="J35" i="34"/>
  <c r="J37" i="34" s="1"/>
  <c r="B52" i="31"/>
  <c r="R34" i="49"/>
  <c r="T34" i="49"/>
  <c r="S55" i="39"/>
  <c r="L50" i="45"/>
  <c r="I50" i="34"/>
  <c r="I52" i="34"/>
  <c r="I51" i="34"/>
  <c r="G48" i="36"/>
  <c r="G53" i="36" s="1"/>
  <c r="H48" i="36"/>
  <c r="H53" i="36" s="1"/>
  <c r="F48" i="36"/>
  <c r="F53" i="36" s="1"/>
  <c r="G46" i="34"/>
  <c r="H46" i="34"/>
  <c r="F13" i="34"/>
  <c r="I46" i="34"/>
  <c r="J46" i="34"/>
  <c r="J17" i="34"/>
  <c r="J13" i="34"/>
  <c r="I50" i="23"/>
  <c r="I51" i="23"/>
  <c r="I55" i="23"/>
  <c r="I52" i="23"/>
  <c r="O24" i="23"/>
  <c r="O27" i="23" s="1"/>
  <c r="O47" i="23" s="1"/>
  <c r="O51" i="23" s="1"/>
  <c r="E24" i="9"/>
  <c r="E25" i="9" s="1"/>
  <c r="H29" i="9"/>
  <c r="L35" i="9"/>
  <c r="J48" i="49"/>
  <c r="J24" i="23"/>
  <c r="J27" i="23" s="1"/>
  <c r="J47" i="23" s="1"/>
  <c r="H24" i="9"/>
  <c r="H25" i="9" s="1"/>
  <c r="G24" i="9"/>
  <c r="G25" i="9" s="1"/>
  <c r="F24" i="9"/>
  <c r="F25" i="9" s="1"/>
  <c r="H24" i="36"/>
  <c r="H27" i="36" s="1"/>
  <c r="H47" i="36" s="1"/>
  <c r="H55" i="36" s="1"/>
  <c r="G24" i="36"/>
  <c r="G25" i="36" s="1"/>
  <c r="G27" i="36" s="1"/>
  <c r="G47" i="36" s="1"/>
  <c r="M24" i="49"/>
  <c r="M27" i="49" s="1"/>
  <c r="L22" i="49"/>
  <c r="N24" i="49"/>
  <c r="N27" i="49" s="1"/>
  <c r="K24" i="23"/>
  <c r="K27" i="23" s="1"/>
  <c r="K47" i="23" s="1"/>
  <c r="I25" i="3"/>
  <c r="I27" i="3" s="1"/>
  <c r="I47" i="3" s="1"/>
  <c r="I37" i="9"/>
  <c r="H35" i="9"/>
  <c r="H37" i="9" s="1"/>
  <c r="E48" i="9" s="1"/>
  <c r="E53" i="9" s="1"/>
  <c r="T52" i="39"/>
  <c r="T55" i="39"/>
  <c r="T50" i="39"/>
  <c r="R55" i="39"/>
  <c r="S52" i="39"/>
  <c r="S50" i="39"/>
  <c r="R51" i="39"/>
  <c r="Q52" i="39"/>
  <c r="R52" i="39"/>
  <c r="N55" i="39"/>
  <c r="N51" i="39"/>
  <c r="N50" i="39"/>
  <c r="N52" i="39"/>
  <c r="O50" i="39"/>
  <c r="O52" i="39"/>
  <c r="O51" i="39"/>
  <c r="O55" i="39"/>
  <c r="L50" i="30"/>
  <c r="L52" i="30"/>
  <c r="L51" i="30"/>
  <c r="R52" i="8"/>
  <c r="L29" i="23"/>
  <c r="L34" i="23" s="1"/>
  <c r="L24" i="23"/>
  <c r="L27" i="23" s="1"/>
  <c r="L47" i="23" s="1"/>
  <c r="L16" i="23"/>
  <c r="L17" i="23" s="1"/>
  <c r="P24" i="49"/>
  <c r="P27" i="49" s="1"/>
  <c r="O48" i="36"/>
  <c r="O53" i="36" s="1"/>
  <c r="K34" i="3"/>
  <c r="S50" i="8"/>
  <c r="S51" i="8"/>
  <c r="R24" i="3"/>
  <c r="R27" i="3" s="1"/>
  <c r="R47" i="3" s="1"/>
  <c r="R52" i="3" s="1"/>
  <c r="N35" i="34"/>
  <c r="N37" i="34" s="1"/>
  <c r="N48" i="34" s="1"/>
  <c r="N53" i="34" s="1"/>
  <c r="R55" i="8"/>
  <c r="Q25" i="34"/>
  <c r="Q27" i="34" s="1"/>
  <c r="Q47" i="34" s="1"/>
  <c r="I48" i="36"/>
  <c r="I53" i="36" s="1"/>
  <c r="K55" i="3"/>
  <c r="K52" i="3"/>
  <c r="K50" i="3"/>
  <c r="K51" i="3"/>
  <c r="M50" i="49"/>
  <c r="P24" i="36"/>
  <c r="P27" i="36" s="1"/>
  <c r="P47" i="36" s="1"/>
  <c r="P55" i="36" s="1"/>
  <c r="I29" i="36"/>
  <c r="I34" i="36" s="1"/>
  <c r="I24" i="36"/>
  <c r="I27" i="36" s="1"/>
  <c r="I47" i="36" s="1"/>
  <c r="Q24" i="49"/>
  <c r="Q27" i="49" s="1"/>
  <c r="S34" i="49"/>
  <c r="G17" i="35"/>
  <c r="G29" i="35"/>
  <c r="G34" i="35" s="1"/>
  <c r="R50" i="36"/>
  <c r="R51" i="36"/>
  <c r="R55" i="36"/>
  <c r="R52" i="36"/>
  <c r="Q29" i="36"/>
  <c r="Q34" i="36" s="1"/>
  <c r="Q24" i="36"/>
  <c r="Q27" i="36" s="1"/>
  <c r="Q47" i="36" s="1"/>
  <c r="P50" i="36"/>
  <c r="P52" i="36"/>
  <c r="O24" i="36"/>
  <c r="O27" i="36" s="1"/>
  <c r="O47" i="36" s="1"/>
  <c r="P48" i="36"/>
  <c r="P53" i="36" s="1"/>
  <c r="S50" i="36"/>
  <c r="S51" i="36"/>
  <c r="S55" i="36"/>
  <c r="S52" i="36"/>
  <c r="M29" i="36"/>
  <c r="M34" i="36" s="1"/>
  <c r="M24" i="36"/>
  <c r="M27" i="36" s="1"/>
  <c r="M47" i="36" s="1"/>
  <c r="N50" i="36"/>
  <c r="N52" i="36"/>
  <c r="N51" i="36"/>
  <c r="N55" i="36"/>
  <c r="L24" i="36"/>
  <c r="L27" i="36" s="1"/>
  <c r="L47" i="36" s="1"/>
  <c r="J24" i="36"/>
  <c r="J27" i="36" s="1"/>
  <c r="J47" i="36" s="1"/>
  <c r="M48" i="36"/>
  <c r="M53" i="36" s="1"/>
  <c r="L48" i="36"/>
  <c r="L53" i="36" s="1"/>
  <c r="K48" i="36"/>
  <c r="K53" i="36" s="1"/>
  <c r="K24" i="36"/>
  <c r="K27" i="36" s="1"/>
  <c r="K47" i="36" s="1"/>
  <c r="Q48" i="36"/>
  <c r="Q53" i="36" s="1"/>
  <c r="O50" i="35"/>
  <c r="O55" i="35"/>
  <c r="O52" i="35"/>
  <c r="O51" i="35"/>
  <c r="I29" i="35"/>
  <c r="I34" i="35" s="1"/>
  <c r="I17" i="35"/>
  <c r="N27" i="35"/>
  <c r="N47" i="35" s="1"/>
  <c r="M24" i="35"/>
  <c r="L24" i="9"/>
  <c r="L25" i="9" s="1"/>
  <c r="L29" i="9"/>
  <c r="J24" i="9"/>
  <c r="J25" i="9" s="1"/>
  <c r="K24" i="9"/>
  <c r="K25" i="9" s="1"/>
  <c r="L17" i="9"/>
  <c r="M17" i="9"/>
  <c r="I29" i="9"/>
  <c r="I24" i="9"/>
  <c r="I25" i="9" s="1"/>
  <c r="L37" i="9"/>
  <c r="O50" i="23"/>
  <c r="P37" i="23"/>
  <c r="P24" i="23"/>
  <c r="P27" i="23" s="1"/>
  <c r="P29" i="23"/>
  <c r="P34" i="23" s="1"/>
  <c r="M24" i="23"/>
  <c r="M27" i="23" s="1"/>
  <c r="M47" i="23" s="1"/>
  <c r="N24" i="23"/>
  <c r="N27" i="23" s="1"/>
  <c r="N47" i="23" s="1"/>
  <c r="S37" i="3"/>
  <c r="P48" i="3" s="1"/>
  <c r="P53" i="3" s="1"/>
  <c r="O29" i="3"/>
  <c r="O34" i="3" s="1"/>
  <c r="O24" i="3"/>
  <c r="O27" i="3" s="1"/>
  <c r="O47" i="3" s="1"/>
  <c r="M24" i="3"/>
  <c r="M27" i="3" s="1"/>
  <c r="M47" i="3" s="1"/>
  <c r="Q50" i="3"/>
  <c r="Q51" i="3"/>
  <c r="Q52" i="3"/>
  <c r="Q55" i="3"/>
  <c r="O48" i="3"/>
  <c r="O53" i="3" s="1"/>
  <c r="N48" i="3"/>
  <c r="N53" i="3" s="1"/>
  <c r="N24" i="3"/>
  <c r="N27" i="3" s="1"/>
  <c r="N47" i="3" s="1"/>
  <c r="T50" i="3"/>
  <c r="T52" i="3"/>
  <c r="T55" i="3"/>
  <c r="T51" i="3"/>
  <c r="S29" i="3"/>
  <c r="S34" i="3" s="1"/>
  <c r="S24" i="3"/>
  <c r="S27" i="3" s="1"/>
  <c r="S47" i="3" s="1"/>
  <c r="U50" i="3"/>
  <c r="U51" i="3"/>
  <c r="U52" i="3"/>
  <c r="U55" i="3"/>
  <c r="M48" i="3"/>
  <c r="M53" i="3" s="1"/>
  <c r="L24" i="3"/>
  <c r="L27" i="3" s="1"/>
  <c r="L47" i="3" s="1"/>
  <c r="P24" i="3"/>
  <c r="P27" i="3" s="1"/>
  <c r="P47" i="3" s="1"/>
  <c r="M50" i="30"/>
  <c r="M51" i="30"/>
  <c r="M52" i="30"/>
  <c r="C29" i="1"/>
  <c r="C24" i="1"/>
  <c r="C27" i="1" s="1"/>
  <c r="C47" i="1" s="1"/>
  <c r="B22" i="1"/>
  <c r="B17" i="1"/>
  <c r="O48" i="27"/>
  <c r="O53" i="27" s="1"/>
  <c r="M48" i="27"/>
  <c r="M53" i="27" s="1"/>
  <c r="N48" i="27"/>
  <c r="N53" i="27" s="1"/>
  <c r="L48" i="27"/>
  <c r="L53" i="27" s="1"/>
  <c r="L52" i="34"/>
  <c r="L51" i="34"/>
  <c r="L50" i="34"/>
  <c r="P50" i="34"/>
  <c r="P52" i="34"/>
  <c r="P51" i="34"/>
  <c r="M52" i="34"/>
  <c r="M51" i="34"/>
  <c r="M50" i="34"/>
  <c r="K52" i="34"/>
  <c r="K51" i="34"/>
  <c r="K50" i="34"/>
  <c r="R37" i="34"/>
  <c r="O25" i="34"/>
  <c r="O27" i="34" s="1"/>
  <c r="O47" i="34" s="1"/>
  <c r="S37" i="34"/>
  <c r="R25" i="34"/>
  <c r="R27" i="34" s="1"/>
  <c r="R47" i="34" s="1"/>
  <c r="N25" i="34"/>
  <c r="N27" i="34" s="1"/>
  <c r="N47" i="34" s="1"/>
  <c r="M48" i="34"/>
  <c r="M53" i="34" s="1"/>
  <c r="M53" i="49"/>
  <c r="M52" i="49"/>
  <c r="M55" i="49"/>
  <c r="M51" i="49"/>
  <c r="O24" i="49"/>
  <c r="O27" i="49" s="1"/>
  <c r="M29" i="49"/>
  <c r="M34" i="49" s="1"/>
  <c r="Q29" i="49"/>
  <c r="Q34" i="49" s="1"/>
  <c r="N29" i="49"/>
  <c r="N34" i="49" s="1"/>
  <c r="O47" i="2"/>
  <c r="G53" i="47" l="1"/>
  <c r="F48" i="47"/>
  <c r="H55" i="25"/>
  <c r="G42" i="25"/>
  <c r="H50" i="36"/>
  <c r="K50" i="45"/>
  <c r="K51" i="45"/>
  <c r="K55" i="45"/>
  <c r="K52" i="45"/>
  <c r="P51" i="36"/>
  <c r="I27" i="45"/>
  <c r="I47" i="45" s="1"/>
  <c r="J47" i="45"/>
  <c r="J48" i="34"/>
  <c r="J53" i="34" s="1"/>
  <c r="G48" i="34"/>
  <c r="G53" i="34" s="1"/>
  <c r="H48" i="34"/>
  <c r="H53" i="34" s="1"/>
  <c r="I48" i="34"/>
  <c r="I53" i="34" s="1"/>
  <c r="C42" i="26"/>
  <c r="D55" i="26"/>
  <c r="O55" i="23"/>
  <c r="O52" i="23"/>
  <c r="J24" i="49"/>
  <c r="J25" i="49" s="1"/>
  <c r="J27" i="49" s="1"/>
  <c r="J47" i="49" s="1"/>
  <c r="J55" i="49" s="1"/>
  <c r="I24" i="49"/>
  <c r="I25" i="49" s="1"/>
  <c r="J53" i="49"/>
  <c r="I48" i="49"/>
  <c r="J50" i="23"/>
  <c r="J55" i="23"/>
  <c r="J51" i="23"/>
  <c r="J52" i="23"/>
  <c r="F48" i="9"/>
  <c r="F53" i="9" s="1"/>
  <c r="H51" i="36"/>
  <c r="H52" i="36"/>
  <c r="G55" i="36"/>
  <c r="G52" i="36"/>
  <c r="G51" i="36"/>
  <c r="G50" i="36"/>
  <c r="K24" i="49"/>
  <c r="L24" i="49"/>
  <c r="K55" i="23"/>
  <c r="K51" i="23"/>
  <c r="K52" i="23"/>
  <c r="K50" i="23"/>
  <c r="I50" i="3"/>
  <c r="I55" i="3"/>
  <c r="I51" i="3"/>
  <c r="I52" i="3"/>
  <c r="H48" i="9"/>
  <c r="H53" i="9" s="1"/>
  <c r="G48" i="9"/>
  <c r="G53" i="9" s="1"/>
  <c r="L53" i="30"/>
  <c r="K53" i="30"/>
  <c r="R55" i="3"/>
  <c r="K48" i="34"/>
  <c r="K53" i="34" s="1"/>
  <c r="L48" i="34"/>
  <c r="L53" i="34" s="1"/>
  <c r="R50" i="3"/>
  <c r="L52" i="23"/>
  <c r="L55" i="23"/>
  <c r="L50" i="23"/>
  <c r="L51" i="23"/>
  <c r="R51" i="3"/>
  <c r="Q50" i="34"/>
  <c r="Q51" i="34"/>
  <c r="Q52" i="34"/>
  <c r="I55" i="36"/>
  <c r="I50" i="36"/>
  <c r="I52" i="36"/>
  <c r="I51" i="36"/>
  <c r="K50" i="36"/>
  <c r="K55" i="36"/>
  <c r="K52" i="36"/>
  <c r="K51" i="36"/>
  <c r="J50" i="36"/>
  <c r="J55" i="36"/>
  <c r="J52" i="36"/>
  <c r="J51" i="36"/>
  <c r="L50" i="36"/>
  <c r="L51" i="36"/>
  <c r="L52" i="36"/>
  <c r="L55" i="36"/>
  <c r="O50" i="36"/>
  <c r="O52" i="36"/>
  <c r="O51" i="36"/>
  <c r="O55" i="36"/>
  <c r="M50" i="36"/>
  <c r="M55" i="36"/>
  <c r="M51" i="36"/>
  <c r="M52" i="36"/>
  <c r="Q50" i="36"/>
  <c r="Q55" i="36"/>
  <c r="Q51" i="36"/>
  <c r="Q52" i="36"/>
  <c r="N50" i="35"/>
  <c r="N52" i="35"/>
  <c r="N55" i="35"/>
  <c r="N51" i="35"/>
  <c r="M27" i="35"/>
  <c r="M47" i="35" s="1"/>
  <c r="L24" i="35"/>
  <c r="L48" i="9"/>
  <c r="L53" i="9" s="1"/>
  <c r="K48" i="9"/>
  <c r="K53" i="9" s="1"/>
  <c r="I48" i="9"/>
  <c r="I53" i="9" s="1"/>
  <c r="J48" i="9"/>
  <c r="J53" i="9" s="1"/>
  <c r="N50" i="23"/>
  <c r="N51" i="23"/>
  <c r="N55" i="23"/>
  <c r="N52" i="23"/>
  <c r="M48" i="23"/>
  <c r="M53" i="23" s="1"/>
  <c r="O48" i="23"/>
  <c r="O53" i="23" s="1"/>
  <c r="N48" i="23"/>
  <c r="N53" i="23" s="1"/>
  <c r="M50" i="23"/>
  <c r="M52" i="23"/>
  <c r="M51" i="23"/>
  <c r="M55" i="23"/>
  <c r="N52" i="3"/>
  <c r="N50" i="3"/>
  <c r="N51" i="3"/>
  <c r="N55" i="3"/>
  <c r="O52" i="3"/>
  <c r="O50" i="3"/>
  <c r="O55" i="3"/>
  <c r="O51" i="3"/>
  <c r="P50" i="3"/>
  <c r="P51" i="3"/>
  <c r="P52" i="3"/>
  <c r="P55" i="3"/>
  <c r="S52" i="3"/>
  <c r="S50" i="3"/>
  <c r="S51" i="3"/>
  <c r="S55" i="3"/>
  <c r="L50" i="3"/>
  <c r="L52" i="3"/>
  <c r="L55" i="3"/>
  <c r="L51" i="3"/>
  <c r="M50" i="3"/>
  <c r="M55" i="3"/>
  <c r="M51" i="3"/>
  <c r="M52" i="3"/>
  <c r="S48" i="3"/>
  <c r="S53" i="3" s="1"/>
  <c r="R48" i="3"/>
  <c r="R53" i="3" s="1"/>
  <c r="Q48" i="3"/>
  <c r="Q53" i="3" s="1"/>
  <c r="B24" i="1"/>
  <c r="B27" i="1" s="1"/>
  <c r="B47" i="1" s="1"/>
  <c r="B29" i="1"/>
  <c r="C50" i="1"/>
  <c r="C55" i="1"/>
  <c r="C51" i="1"/>
  <c r="C52" i="1"/>
  <c r="N52" i="34"/>
  <c r="N51" i="34"/>
  <c r="N50" i="34"/>
  <c r="R50" i="34"/>
  <c r="R52" i="34"/>
  <c r="R51" i="34"/>
  <c r="O50" i="34"/>
  <c r="O51" i="34"/>
  <c r="O52" i="34"/>
  <c r="R48" i="34"/>
  <c r="R53" i="34" s="1"/>
  <c r="P48" i="34"/>
  <c r="P53" i="34" s="1"/>
  <c r="Q48" i="34"/>
  <c r="Q53" i="34" s="1"/>
  <c r="O48" i="34"/>
  <c r="O53" i="34" s="1"/>
  <c r="J47" i="2"/>
  <c r="C47" i="2"/>
  <c r="F42" i="25" l="1"/>
  <c r="G55" i="25"/>
  <c r="F53" i="47"/>
  <c r="E48" i="47"/>
  <c r="I50" i="45"/>
  <c r="I55" i="45"/>
  <c r="I51" i="45"/>
  <c r="I52" i="45"/>
  <c r="J50" i="45"/>
  <c r="J55" i="45"/>
  <c r="J51" i="45"/>
  <c r="J52" i="45"/>
  <c r="B42" i="26"/>
  <c r="B55" i="26" s="1"/>
  <c r="C55" i="26"/>
  <c r="I53" i="49"/>
  <c r="H48" i="49"/>
  <c r="J52" i="49"/>
  <c r="J51" i="49"/>
  <c r="J50" i="49"/>
  <c r="I27" i="49"/>
  <c r="I47" i="49" s="1"/>
  <c r="K25" i="49"/>
  <c r="K27" i="49" s="1"/>
  <c r="K47" i="49" s="1"/>
  <c r="L27" i="35"/>
  <c r="L47" i="35" s="1"/>
  <c r="K24" i="35"/>
  <c r="M50" i="35"/>
  <c r="M52" i="35"/>
  <c r="M51" i="35"/>
  <c r="M55" i="35"/>
  <c r="B50" i="1"/>
  <c r="B51" i="1"/>
  <c r="B52" i="1"/>
  <c r="B55" i="1"/>
  <c r="F47" i="2"/>
  <c r="E47" i="2"/>
  <c r="E53" i="47" l="1"/>
  <c r="D48" i="47"/>
  <c r="H53" i="49"/>
  <c r="G48" i="49"/>
  <c r="E42" i="25"/>
  <c r="F55" i="25"/>
  <c r="I50" i="49"/>
  <c r="I55" i="49"/>
  <c r="I52" i="49"/>
  <c r="I51" i="49"/>
  <c r="K55" i="49"/>
  <c r="K51" i="49"/>
  <c r="K50" i="49"/>
  <c r="K52" i="49"/>
  <c r="J24" i="35"/>
  <c r="J25" i="35" s="1"/>
  <c r="K27" i="35"/>
  <c r="K47" i="35" s="1"/>
  <c r="L50" i="35"/>
  <c r="L52" i="35"/>
  <c r="L55" i="35"/>
  <c r="L51" i="35"/>
  <c r="E55" i="25" l="1"/>
  <c r="D42" i="25"/>
  <c r="D53" i="47"/>
  <c r="C48" i="47"/>
  <c r="C53" i="47" s="1"/>
  <c r="G53" i="49"/>
  <c r="F48" i="49"/>
  <c r="K50" i="35"/>
  <c r="K51" i="35"/>
  <c r="K52" i="35"/>
  <c r="K55" i="35"/>
  <c r="I24" i="35"/>
  <c r="J27" i="35"/>
  <c r="J47" i="35" s="1"/>
  <c r="C42" i="25" l="1"/>
  <c r="C55" i="25" s="1"/>
  <c r="D55" i="25"/>
  <c r="F53" i="49"/>
  <c r="E48" i="49"/>
  <c r="J50" i="35"/>
  <c r="J55" i="35"/>
  <c r="J52" i="35"/>
  <c r="J51" i="35"/>
  <c r="H24" i="35"/>
  <c r="G24" i="35" s="1"/>
  <c r="F24" i="35" s="1"/>
  <c r="I27" i="35"/>
  <c r="I47" i="35" s="1"/>
  <c r="E53" i="49" l="1"/>
  <c r="D48" i="49"/>
  <c r="F25" i="35"/>
  <c r="F27" i="35" s="1"/>
  <c r="F47" i="35" s="1"/>
  <c r="F55" i="35" s="1"/>
  <c r="E24" i="35"/>
  <c r="D24" i="35" s="1"/>
  <c r="C24" i="35" s="1"/>
  <c r="F52" i="35"/>
  <c r="F51" i="35"/>
  <c r="G25" i="35"/>
  <c r="G27" i="35" s="1"/>
  <c r="G47" i="35" s="1"/>
  <c r="I50" i="35"/>
  <c r="I52" i="35"/>
  <c r="I55" i="35"/>
  <c r="I51" i="35"/>
  <c r="H25" i="35"/>
  <c r="H27" i="35" s="1"/>
  <c r="H47" i="35" s="1"/>
  <c r="D53" i="49" l="1"/>
  <c r="C48" i="49"/>
  <c r="C53" i="49" s="1"/>
  <c r="C26" i="35"/>
  <c r="B24" i="35"/>
  <c r="C27" i="35"/>
  <c r="C47" i="35" s="1"/>
  <c r="D25" i="35"/>
  <c r="D27" i="35" s="1"/>
  <c r="D47" i="35" s="1"/>
  <c r="F50" i="35"/>
  <c r="E25" i="35"/>
  <c r="E27" i="35" s="1"/>
  <c r="E47" i="35" s="1"/>
  <c r="G51" i="35"/>
  <c r="G50" i="35"/>
  <c r="G52" i="35"/>
  <c r="G55" i="35"/>
  <c r="H50" i="35"/>
  <c r="H55" i="35"/>
  <c r="H52" i="35"/>
  <c r="H51" i="35"/>
  <c r="B25" i="35" l="1"/>
  <c r="B27" i="35"/>
  <c r="B47" i="35" s="1"/>
  <c r="C52" i="35"/>
  <c r="C55" i="35"/>
  <c r="C50" i="35"/>
  <c r="C51" i="35"/>
  <c r="D55" i="35"/>
  <c r="D51" i="35"/>
  <c r="D52" i="35"/>
  <c r="D50" i="35"/>
  <c r="E50" i="35"/>
  <c r="E55" i="35"/>
  <c r="E51" i="35"/>
  <c r="E52" i="35"/>
  <c r="B30" i="32"/>
  <c r="B32" i="32"/>
  <c r="B24" i="32"/>
  <c r="B25" i="32" s="1"/>
  <c r="C21" i="32"/>
  <c r="B20" i="32"/>
  <c r="B16" i="32"/>
  <c r="B17" i="32" s="1"/>
  <c r="B37" i="32"/>
  <c r="B40" i="32"/>
  <c r="B41" i="32" s="1"/>
  <c r="B13" i="32"/>
  <c r="B55" i="35" l="1"/>
  <c r="B52" i="35"/>
  <c r="B51" i="35"/>
  <c r="B50" i="35"/>
  <c r="C29" i="32"/>
  <c r="O83" i="2"/>
  <c r="O28" i="2" l="1"/>
  <c r="J28" i="2"/>
  <c r="D12" i="32" l="1"/>
  <c r="C13" i="32"/>
  <c r="E13" i="32"/>
  <c r="F13" i="32"/>
  <c r="G13" i="32"/>
  <c r="H13" i="32"/>
  <c r="I13" i="32"/>
  <c r="D16" i="32"/>
  <c r="D21" i="32" s="1"/>
  <c r="E16" i="32"/>
  <c r="F16" i="32"/>
  <c r="F17" i="32" s="1"/>
  <c r="G16" i="32"/>
  <c r="G17" i="32" s="1"/>
  <c r="C17" i="32"/>
  <c r="E17" i="32"/>
  <c r="H17" i="32"/>
  <c r="I17" i="32"/>
  <c r="J17" i="32"/>
  <c r="K17" i="32"/>
  <c r="L17" i="32"/>
  <c r="M17" i="32"/>
  <c r="D20" i="32"/>
  <c r="E20" i="32"/>
  <c r="F20" i="32"/>
  <c r="F21" i="32" s="1"/>
  <c r="G20" i="32"/>
  <c r="G21" i="32" s="1"/>
  <c r="H21" i="32"/>
  <c r="I21" i="32"/>
  <c r="J21" i="32"/>
  <c r="K21" i="32"/>
  <c r="L21" i="32"/>
  <c r="M21" i="32"/>
  <c r="C24" i="32"/>
  <c r="D24" i="32"/>
  <c r="E24" i="32"/>
  <c r="F24" i="32"/>
  <c r="G24" i="32"/>
  <c r="H24" i="32"/>
  <c r="H27" i="32" s="1"/>
  <c r="H47" i="32" s="1"/>
  <c r="I24" i="32"/>
  <c r="I27" i="32" s="1"/>
  <c r="I47" i="32" s="1"/>
  <c r="J24" i="32"/>
  <c r="J27" i="32" s="1"/>
  <c r="J47" i="32" s="1"/>
  <c r="C25" i="32"/>
  <c r="C27" i="32" s="1"/>
  <c r="C47" i="32" s="1"/>
  <c r="D26" i="32"/>
  <c r="E26" i="32"/>
  <c r="D29" i="32"/>
  <c r="E29" i="32"/>
  <c r="E34" i="32" s="1"/>
  <c r="F29" i="32"/>
  <c r="F34" i="32" s="1"/>
  <c r="G29" i="32"/>
  <c r="G34" i="32" s="1"/>
  <c r="H29" i="32"/>
  <c r="H34" i="32" s="1"/>
  <c r="I29" i="32"/>
  <c r="I34" i="32" s="1"/>
  <c r="J29" i="32"/>
  <c r="K29" i="32"/>
  <c r="K34" i="32" s="1"/>
  <c r="L29" i="32"/>
  <c r="L34" i="32" s="1"/>
  <c r="M29" i="32"/>
  <c r="M34" i="32" s="1"/>
  <c r="D30" i="32"/>
  <c r="D31" i="32"/>
  <c r="D32" i="32"/>
  <c r="C34" i="32"/>
  <c r="J34" i="32"/>
  <c r="D35" i="32"/>
  <c r="C36" i="32"/>
  <c r="C37" i="32" s="1"/>
  <c r="E36" i="32"/>
  <c r="E37" i="32" s="1"/>
  <c r="G36" i="32"/>
  <c r="G37" i="32" s="1"/>
  <c r="H36" i="32"/>
  <c r="H37" i="32" s="1"/>
  <c r="I36" i="32"/>
  <c r="I37" i="32" s="1"/>
  <c r="J36" i="32"/>
  <c r="J37" i="32" s="1"/>
  <c r="K36" i="32"/>
  <c r="K37" i="32" s="1"/>
  <c r="L36" i="32"/>
  <c r="L37" i="32" s="1"/>
  <c r="M36" i="32"/>
  <c r="M37" i="32" s="1"/>
  <c r="F37" i="32"/>
  <c r="E40" i="32"/>
  <c r="E41" i="32" s="1"/>
  <c r="F40" i="32"/>
  <c r="G40" i="32"/>
  <c r="H40" i="32"/>
  <c r="C41" i="32"/>
  <c r="D41" i="32"/>
  <c r="F41" i="32"/>
  <c r="G41" i="32"/>
  <c r="H41" i="32"/>
  <c r="I41" i="32"/>
  <c r="J41" i="32"/>
  <c r="C46" i="32"/>
  <c r="D46" i="32"/>
  <c r="E46" i="32"/>
  <c r="F46" i="32"/>
  <c r="G46" i="32"/>
  <c r="H46" i="32"/>
  <c r="I46" i="32"/>
  <c r="J46" i="32"/>
  <c r="K55" i="32"/>
  <c r="L55" i="32"/>
  <c r="M55" i="32"/>
  <c r="R55" i="21"/>
  <c r="Q55" i="21"/>
  <c r="N55" i="21"/>
  <c r="M55" i="21"/>
  <c r="L55" i="21"/>
  <c r="N46" i="21"/>
  <c r="M46" i="21"/>
  <c r="L46" i="21"/>
  <c r="P37" i="21"/>
  <c r="O37" i="21"/>
  <c r="N37" i="21"/>
  <c r="M37" i="21"/>
  <c r="L37" i="21"/>
  <c r="O24" i="21"/>
  <c r="O27" i="21" s="1"/>
  <c r="N29" i="21"/>
  <c r="M29" i="21"/>
  <c r="L24" i="21"/>
  <c r="L27" i="21" s="1"/>
  <c r="L47" i="21" s="1"/>
  <c r="R17" i="21"/>
  <c r="Q17" i="21"/>
  <c r="P17" i="21"/>
  <c r="O17" i="21"/>
  <c r="N17" i="21"/>
  <c r="M17" i="21"/>
  <c r="L17" i="21"/>
  <c r="N13" i="21"/>
  <c r="M13" i="21"/>
  <c r="L13" i="21"/>
  <c r="M10" i="21"/>
  <c r="N10" i="21" s="1"/>
  <c r="O10" i="21" s="1"/>
  <c r="P10" i="21" s="1"/>
  <c r="Q10" i="21" s="1"/>
  <c r="R10" i="21" s="1"/>
  <c r="O10" i="20"/>
  <c r="P10" i="20" s="1"/>
  <c r="Q10" i="20" s="1"/>
  <c r="R10" i="20" s="1"/>
  <c r="S10" i="20" s="1"/>
  <c r="N13" i="20"/>
  <c r="O13" i="20"/>
  <c r="S17" i="20"/>
  <c r="N24" i="20"/>
  <c r="N26" i="20" s="1"/>
  <c r="N29" i="20"/>
  <c r="O29" i="20"/>
  <c r="O34" i="20" s="1"/>
  <c r="P29" i="20"/>
  <c r="Q29" i="20"/>
  <c r="S29" i="20"/>
  <c r="O37" i="20"/>
  <c r="K48" i="20" s="1"/>
  <c r="P37" i="20"/>
  <c r="Q37" i="20"/>
  <c r="R37" i="20"/>
  <c r="S37" i="20"/>
  <c r="N41" i="20"/>
  <c r="O46" i="20"/>
  <c r="P46" i="20"/>
  <c r="O55" i="20"/>
  <c r="P55" i="20"/>
  <c r="S55" i="20"/>
  <c r="P10" i="17"/>
  <c r="J13" i="17"/>
  <c r="K13" i="17"/>
  <c r="L13" i="17"/>
  <c r="M13" i="17"/>
  <c r="J17" i="17"/>
  <c r="K17" i="17"/>
  <c r="L17" i="17"/>
  <c r="M17" i="17"/>
  <c r="N17" i="17"/>
  <c r="O17" i="17"/>
  <c r="P17" i="17"/>
  <c r="Q17" i="17"/>
  <c r="J21" i="17"/>
  <c r="K21" i="17"/>
  <c r="L21" i="17"/>
  <c r="M21" i="17"/>
  <c r="N21" i="17"/>
  <c r="O21" i="17"/>
  <c r="P21" i="17"/>
  <c r="Q21" i="17"/>
  <c r="J24" i="17"/>
  <c r="J27" i="17" s="1"/>
  <c r="K24" i="17"/>
  <c r="K27" i="17" s="1"/>
  <c r="K47" i="17" s="1"/>
  <c r="L24" i="17"/>
  <c r="L27" i="17" s="1"/>
  <c r="L47" i="17" s="1"/>
  <c r="M24" i="17"/>
  <c r="M27" i="17" s="1"/>
  <c r="M47" i="17" s="1"/>
  <c r="N24" i="17"/>
  <c r="N27" i="17" s="1"/>
  <c r="N47" i="17" s="1"/>
  <c r="J29" i="17"/>
  <c r="K29" i="17"/>
  <c r="L29" i="17"/>
  <c r="M29" i="17"/>
  <c r="N29" i="17"/>
  <c r="O29" i="17"/>
  <c r="P29" i="17"/>
  <c r="Q29" i="17"/>
  <c r="J37" i="17"/>
  <c r="K37" i="17"/>
  <c r="L37" i="17"/>
  <c r="M37" i="17"/>
  <c r="N37" i="17"/>
  <c r="O37" i="17"/>
  <c r="P37" i="17"/>
  <c r="Q37" i="17"/>
  <c r="J41" i="17"/>
  <c r="J53" i="17" s="1"/>
  <c r="K46" i="17"/>
  <c r="L46" i="17"/>
  <c r="M46" i="17"/>
  <c r="N46" i="17"/>
  <c r="J50" i="17"/>
  <c r="K55" i="17"/>
  <c r="L55" i="17"/>
  <c r="M55" i="17"/>
  <c r="N55" i="17"/>
  <c r="O55" i="17"/>
  <c r="P55" i="17"/>
  <c r="Q55" i="17"/>
  <c r="Q10" i="7"/>
  <c r="R10" i="7" s="1"/>
  <c r="P41" i="7"/>
  <c r="P52" i="7" s="1"/>
  <c r="P50" i="7"/>
  <c r="AJ1" i="2"/>
  <c r="E28" i="2"/>
  <c r="F28" i="2"/>
  <c r="C28" i="2"/>
  <c r="E27" i="32" l="1"/>
  <c r="E47" i="32" s="1"/>
  <c r="D27" i="32"/>
  <c r="D47" i="32" s="1"/>
  <c r="L48" i="21"/>
  <c r="L53" i="21" s="1"/>
  <c r="K48" i="21"/>
  <c r="K53" i="21" s="1"/>
  <c r="J48" i="21"/>
  <c r="J53" i="21" s="1"/>
  <c r="I48" i="21"/>
  <c r="I53" i="21" s="1"/>
  <c r="I51" i="32"/>
  <c r="H52" i="32"/>
  <c r="J48" i="20"/>
  <c r="K53" i="20"/>
  <c r="N27" i="20"/>
  <c r="N47" i="20" s="1"/>
  <c r="N50" i="20" s="1"/>
  <c r="M26" i="20"/>
  <c r="M27" i="20" s="1"/>
  <c r="M47" i="20" s="1"/>
  <c r="P48" i="20"/>
  <c r="E50" i="32"/>
  <c r="D55" i="32"/>
  <c r="G26" i="32"/>
  <c r="G27" i="32" s="1"/>
  <c r="G47" i="32" s="1"/>
  <c r="I48" i="32"/>
  <c r="I53" i="32" s="1"/>
  <c r="J55" i="32"/>
  <c r="J51" i="32"/>
  <c r="J52" i="32"/>
  <c r="J50" i="32"/>
  <c r="I52" i="32"/>
  <c r="I50" i="32"/>
  <c r="I55" i="32"/>
  <c r="D50" i="32"/>
  <c r="D51" i="32"/>
  <c r="N48" i="20"/>
  <c r="N53" i="20" s="1"/>
  <c r="D52" i="32"/>
  <c r="J48" i="32"/>
  <c r="J53" i="32" s="1"/>
  <c r="F26" i="32"/>
  <c r="F27" i="32" s="1"/>
  <c r="F47" i="32" s="1"/>
  <c r="H55" i="32"/>
  <c r="D36" i="32"/>
  <c r="D37" i="32" s="1"/>
  <c r="B48" i="32" s="1"/>
  <c r="B53" i="32" s="1"/>
  <c r="H51" i="32"/>
  <c r="H50" i="32"/>
  <c r="E21" i="32"/>
  <c r="D13" i="32"/>
  <c r="B46" i="32"/>
  <c r="P55" i="7"/>
  <c r="P53" i="7"/>
  <c r="M48" i="17"/>
  <c r="K48" i="17"/>
  <c r="L48" i="17"/>
  <c r="J51" i="17"/>
  <c r="J52" i="17"/>
  <c r="J55" i="17"/>
  <c r="M48" i="21"/>
  <c r="M53" i="21" s="1"/>
  <c r="P29" i="21"/>
  <c r="D34" i="32"/>
  <c r="E48" i="32"/>
  <c r="E53" i="32" s="1"/>
  <c r="D17" i="32"/>
  <c r="E51" i="32"/>
  <c r="E52" i="32"/>
  <c r="E55" i="32"/>
  <c r="F48" i="32"/>
  <c r="F53" i="32" s="1"/>
  <c r="G48" i="32"/>
  <c r="G53" i="32" s="1"/>
  <c r="H48" i="32"/>
  <c r="H53" i="32" s="1"/>
  <c r="C50" i="32"/>
  <c r="C51" i="32"/>
  <c r="C52" i="32"/>
  <c r="C55" i="32"/>
  <c r="L52" i="21"/>
  <c r="L51" i="21"/>
  <c r="L50" i="21"/>
  <c r="M24" i="21"/>
  <c r="M27" i="21" s="1"/>
  <c r="M47" i="21" s="1"/>
  <c r="O29" i="21"/>
  <c r="N24" i="21"/>
  <c r="N27" i="21" s="1"/>
  <c r="N47" i="21" s="1"/>
  <c r="N52" i="21" s="1"/>
  <c r="N55" i="20"/>
  <c r="N52" i="20"/>
  <c r="O48" i="20"/>
  <c r="N48" i="17"/>
  <c r="P51" i="7"/>
  <c r="O26" i="2"/>
  <c r="O70" i="2"/>
  <c r="O78" i="2"/>
  <c r="O101" i="2"/>
  <c r="O104" i="2"/>
  <c r="O36" i="2"/>
  <c r="O62" i="2"/>
  <c r="O74" i="2"/>
  <c r="F83" i="2"/>
  <c r="E83" i="2"/>
  <c r="C83" i="2"/>
  <c r="J83" i="2"/>
  <c r="J53" i="20" l="1"/>
  <c r="I48" i="20"/>
  <c r="N51" i="20"/>
  <c r="G52" i="32"/>
  <c r="G51" i="32"/>
  <c r="G55" i="32"/>
  <c r="G50" i="32"/>
  <c r="C48" i="32"/>
  <c r="C53" i="32" s="1"/>
  <c r="F55" i="32"/>
  <c r="F50" i="32"/>
  <c r="F52" i="32"/>
  <c r="F51" i="32"/>
  <c r="D48" i="32"/>
  <c r="D53" i="32" s="1"/>
  <c r="N51" i="21"/>
  <c r="N50" i="21"/>
  <c r="M52" i="21"/>
  <c r="M51" i="21"/>
  <c r="M50" i="21"/>
  <c r="O58" i="2"/>
  <c r="I53" i="20" l="1"/>
  <c r="H48" i="20"/>
  <c r="B21" i="32"/>
  <c r="B27" i="32"/>
  <c r="B47" i="32" s="1"/>
  <c r="B29" i="32"/>
  <c r="B34" i="32" s="1"/>
  <c r="G48" i="20" l="1"/>
  <c r="H53" i="20"/>
  <c r="B52" i="32"/>
  <c r="B55" i="32"/>
  <c r="B50" i="32"/>
  <c r="B51" i="32"/>
  <c r="G53" i="20" l="1"/>
  <c r="F48" i="20"/>
  <c r="M35" i="38"/>
  <c r="M37" i="38" s="1"/>
  <c r="L35" i="38"/>
  <c r="L37" i="38" s="1"/>
  <c r="F53" i="20" l="1"/>
  <c r="E48" i="20"/>
  <c r="J48" i="38"/>
  <c r="J53" i="38" s="1"/>
  <c r="I48" i="38"/>
  <c r="I53" i="38" s="1"/>
  <c r="O24" i="20"/>
  <c r="R29" i="20"/>
  <c r="P24" i="20"/>
  <c r="O52" i="2"/>
  <c r="O60" i="2"/>
  <c r="E53" i="20" l="1"/>
  <c r="D48" i="20"/>
  <c r="P26" i="20"/>
  <c r="O26" i="20" s="1"/>
  <c r="O27" i="20" s="1"/>
  <c r="O47" i="20" s="1"/>
  <c r="L25" i="49"/>
  <c r="L27" i="49" s="1"/>
  <c r="L47" i="49" s="1"/>
  <c r="L16" i="49"/>
  <c r="L17" i="49" s="1"/>
  <c r="D53" i="20" l="1"/>
  <c r="C48" i="20"/>
  <c r="C53" i="20" s="1"/>
  <c r="P27" i="20"/>
  <c r="P47" i="20" s="1"/>
  <c r="L51" i="49"/>
  <c r="L50" i="49"/>
  <c r="L55" i="49"/>
  <c r="L52" i="49"/>
  <c r="L29" i="49"/>
  <c r="L34" i="49" s="1"/>
  <c r="O17" i="13" l="1"/>
  <c r="O21" i="13"/>
  <c r="O33" i="13"/>
  <c r="O34" i="13"/>
  <c r="N35" i="38" l="1"/>
  <c r="N37" i="38"/>
  <c r="N48" i="38" s="1"/>
  <c r="N53" i="38" s="1"/>
  <c r="L48" i="38" l="1"/>
  <c r="L53" i="38" s="1"/>
  <c r="K48" i="38"/>
  <c r="K53" i="38" s="1"/>
  <c r="M48" i="38"/>
  <c r="M53" i="38" s="1"/>
  <c r="O53" i="2"/>
  <c r="N37" i="6" l="1"/>
  <c r="N48" i="6"/>
  <c r="N53" i="6" s="1"/>
  <c r="M36" i="6"/>
  <c r="M37" i="6" s="1"/>
  <c r="M48" i="6" s="1"/>
  <c r="M53" i="6" s="1"/>
  <c r="L37" i="6"/>
  <c r="K48" i="6" l="1"/>
  <c r="K53" i="6" s="1"/>
  <c r="I48" i="6"/>
  <c r="I53" i="6" s="1"/>
  <c r="J48" i="6"/>
  <c r="J53" i="6" s="1"/>
  <c r="L48" i="6"/>
  <c r="L53" i="6" s="1"/>
  <c r="O22" i="24" l="1"/>
  <c r="O29" i="24" s="1"/>
  <c r="O35" i="24" s="1"/>
  <c r="O37" i="24" s="1"/>
  <c r="P22" i="24"/>
  <c r="P29" i="24" s="1"/>
  <c r="P35" i="24" s="1"/>
  <c r="P37" i="24" s="1"/>
  <c r="M17" i="24" l="1"/>
  <c r="K24" i="24"/>
  <c r="K25" i="24" s="1"/>
  <c r="J24" i="24"/>
  <c r="J25" i="24" s="1"/>
  <c r="L24" i="24"/>
  <c r="M24" i="24"/>
  <c r="M25" i="24" s="1"/>
  <c r="L25" i="24" s="1"/>
  <c r="L48" i="24"/>
  <c r="L27" i="24" l="1"/>
  <c r="L47" i="24" s="1"/>
  <c r="L50" i="24"/>
  <c r="L52" i="24"/>
  <c r="L51" i="24"/>
  <c r="L55" i="24"/>
  <c r="K48" i="24"/>
  <c r="L53" i="24"/>
  <c r="K53" i="24" l="1"/>
  <c r="J48" i="24"/>
  <c r="J53" i="24" s="1"/>
  <c r="O71" i="2"/>
  <c r="J41" i="7" l="1"/>
  <c r="J55" i="7" s="1"/>
  <c r="J50" i="7"/>
  <c r="J53" i="7" l="1"/>
  <c r="J52" i="7"/>
  <c r="J51" i="7"/>
  <c r="E62" i="2"/>
  <c r="C70" i="2"/>
  <c r="J24" i="2"/>
  <c r="E102" i="2"/>
  <c r="O107" i="2"/>
  <c r="E20" i="2"/>
  <c r="J73" i="2"/>
  <c r="F80" i="2"/>
  <c r="C26" i="2"/>
  <c r="E24" i="2"/>
  <c r="C25" i="2"/>
  <c r="E19" i="2"/>
  <c r="C97" i="2"/>
  <c r="O102" i="2"/>
  <c r="O41" i="2"/>
  <c r="F36" i="2"/>
  <c r="O73" i="2"/>
  <c r="J53" i="2"/>
  <c r="C48" i="2"/>
  <c r="F55" i="2"/>
  <c r="C101" i="2"/>
  <c r="F109" i="2"/>
  <c r="F52" i="2"/>
  <c r="J70" i="2"/>
  <c r="F71" i="2"/>
  <c r="F78" i="2"/>
  <c r="C52" i="2"/>
  <c r="C100" i="2"/>
  <c r="J101" i="2"/>
  <c r="F48" i="2"/>
  <c r="J58" i="2"/>
  <c r="C68" i="2"/>
  <c r="O20" i="2"/>
  <c r="F101" i="2"/>
  <c r="O43" i="2"/>
  <c r="J100" i="2"/>
  <c r="C78" i="2"/>
  <c r="J91" i="2"/>
  <c r="F100" i="2"/>
  <c r="E115" i="2"/>
  <c r="O19" i="2"/>
  <c r="O25" i="2"/>
  <c r="J41" i="2"/>
  <c r="E74" i="2"/>
  <c r="J105" i="2"/>
  <c r="F43" i="2"/>
  <c r="C58" i="2"/>
  <c r="O3" i="2"/>
  <c r="C20" i="2"/>
  <c r="O98" i="2"/>
  <c r="C105" i="2"/>
  <c r="E100" i="2"/>
  <c r="F74" i="2"/>
  <c r="F3" i="2"/>
  <c r="J52" i="2"/>
  <c r="F102" i="2"/>
  <c r="F98" i="2"/>
  <c r="J98" i="2"/>
  <c r="C53" i="2"/>
  <c r="J48" i="2"/>
  <c r="C104" i="2"/>
  <c r="F91" i="2"/>
  <c r="F20" i="2"/>
  <c r="F19" i="2"/>
  <c r="O68" i="2"/>
  <c r="E41" i="2"/>
  <c r="C41" i="2"/>
  <c r="F60" i="2"/>
  <c r="E48" i="2"/>
  <c r="E70" i="2"/>
  <c r="O75" i="2"/>
  <c r="C43" i="2"/>
  <c r="F105" i="2"/>
  <c r="E78" i="2"/>
  <c r="J102" i="2"/>
  <c r="E26" i="2"/>
  <c r="E75" i="2"/>
  <c r="J3" i="2"/>
  <c r="O100" i="2"/>
  <c r="J26" i="2"/>
  <c r="E55" i="2"/>
  <c r="J60" i="2"/>
  <c r="O115" i="2"/>
  <c r="F75" i="2"/>
  <c r="E101" i="2"/>
  <c r="E53" i="2"/>
  <c r="C3" i="2"/>
  <c r="J20" i="2"/>
  <c r="E25" i="2"/>
  <c r="J104" i="2"/>
  <c r="J80" i="2"/>
  <c r="E71" i="2"/>
  <c r="E98" i="2"/>
  <c r="E52" i="2"/>
  <c r="O80" i="2"/>
  <c r="C102" i="2"/>
  <c r="C60" i="2"/>
  <c r="F62" i="2"/>
  <c r="O105" i="2"/>
  <c r="J78" i="2"/>
  <c r="J71" i="2"/>
  <c r="F26" i="2"/>
  <c r="J36" i="2"/>
  <c r="C75" i="2"/>
  <c r="J115" i="2"/>
  <c r="F97" i="2"/>
  <c r="O91" i="2"/>
  <c r="O55" i="2"/>
  <c r="J43" i="2"/>
  <c r="J68" i="2"/>
  <c r="J107" i="2"/>
  <c r="O97" i="2"/>
  <c r="F107" i="2"/>
  <c r="F24" i="2"/>
  <c r="E58" i="2"/>
  <c r="J25" i="2"/>
  <c r="C24" i="2"/>
  <c r="O48" i="2"/>
  <c r="E73" i="2"/>
  <c r="C74" i="2"/>
  <c r="C98" i="2"/>
  <c r="F68" i="2"/>
  <c r="C62" i="2"/>
  <c r="C73" i="2"/>
  <c r="F73" i="2"/>
  <c r="J19" i="2"/>
  <c r="J75" i="2"/>
  <c r="J74" i="2"/>
  <c r="C80" i="2"/>
  <c r="J55" i="2"/>
  <c r="C71" i="2"/>
  <c r="C19" i="2"/>
  <c r="F115" i="2"/>
  <c r="F70" i="2"/>
  <c r="E3" i="2"/>
  <c r="J97" i="2"/>
  <c r="C55" i="17" l="1"/>
  <c r="C50" i="17"/>
  <c r="O109" i="2"/>
  <c r="F104" i="2"/>
  <c r="E109" i="2"/>
  <c r="E43" i="2"/>
  <c r="F58" i="2"/>
  <c r="E68" i="2"/>
  <c r="E105" i="2"/>
  <c r="F25" i="2"/>
  <c r="C91" i="2"/>
  <c r="E104" i="2"/>
  <c r="C107" i="2"/>
  <c r="C53" i="17" l="1"/>
  <c r="C52" i="17"/>
  <c r="C51" i="17"/>
  <c r="E80" i="2"/>
  <c r="C115" i="2"/>
  <c r="E97" i="2"/>
  <c r="M16" i="13" l="1"/>
  <c r="M17" i="13" s="1"/>
  <c r="M33" i="13"/>
  <c r="M34" i="13" s="1"/>
  <c r="E107" i="2"/>
  <c r="E60" i="2"/>
  <c r="E91" i="2"/>
  <c r="F41" i="2"/>
  <c r="C109" i="2"/>
  <c r="E36" i="2"/>
  <c r="J62" i="2"/>
  <c r="G21" i="21" l="1"/>
  <c r="G29" i="21"/>
  <c r="F53" i="2"/>
  <c r="B16" i="65" l="1"/>
  <c r="B17" i="65" s="1"/>
  <c r="F53" i="6" l="1"/>
  <c r="F52" i="6"/>
  <c r="F55" i="6"/>
  <c r="F51" i="6"/>
  <c r="F40" i="6"/>
  <c r="F50" i="6" s="1"/>
  <c r="G27" i="73" l="1"/>
  <c r="G47" i="73" s="1"/>
  <c r="G16" i="73"/>
  <c r="G17" i="73" s="1"/>
  <c r="G22" i="73" l="1"/>
  <c r="G29" i="73" s="1"/>
  <c r="F16" i="73"/>
  <c r="F22" i="73" s="1"/>
  <c r="F29" i="73" s="1"/>
  <c r="G51" i="73"/>
  <c r="G52" i="73"/>
  <c r="G55" i="73"/>
  <c r="F17" i="73"/>
  <c r="E16" i="73"/>
  <c r="D16" i="73" s="1"/>
  <c r="G50" i="73"/>
  <c r="D17" i="73" l="1"/>
  <c r="C16" i="73"/>
  <c r="D22" i="73"/>
  <c r="E17" i="73"/>
  <c r="E22" i="73"/>
  <c r="D29" i="73" l="1"/>
  <c r="D24" i="73"/>
  <c r="D27" i="73" s="1"/>
  <c r="D47" i="73" s="1"/>
  <c r="C22" i="73"/>
  <c r="C17" i="73"/>
  <c r="E29" i="73"/>
  <c r="E24" i="73"/>
  <c r="E27" i="73" s="1"/>
  <c r="E47" i="73" s="1"/>
  <c r="C29" i="73" l="1"/>
  <c r="C24" i="73"/>
  <c r="C27" i="73" s="1"/>
  <c r="C47" i="73" s="1"/>
  <c r="D50" i="73"/>
  <c r="D55" i="73"/>
  <c r="D52" i="73"/>
  <c r="D51" i="73"/>
  <c r="E50" i="73"/>
  <c r="E55" i="73"/>
  <c r="E52" i="73"/>
  <c r="E51" i="73"/>
  <c r="C50" i="73" l="1"/>
  <c r="C51" i="73"/>
  <c r="C55" i="73"/>
  <c r="C52" i="73"/>
  <c r="D24" i="59"/>
  <c r="D25" i="59" s="1"/>
  <c r="F24" i="59"/>
  <c r="F27" i="59" s="1"/>
  <c r="F47" i="59" s="1"/>
  <c r="F22" i="59"/>
  <c r="E24" i="59" s="1"/>
  <c r="E27" i="59" s="1"/>
  <c r="E47" i="59" s="1"/>
  <c r="F33" i="59"/>
  <c r="E50" i="59" l="1"/>
  <c r="E52" i="59"/>
  <c r="E51" i="59"/>
  <c r="E55" i="59"/>
  <c r="F52" i="59"/>
  <c r="F55" i="59"/>
  <c r="F51" i="59"/>
  <c r="F50" i="59"/>
  <c r="C24" i="59"/>
  <c r="D27" i="59"/>
  <c r="D47" i="59" s="1"/>
  <c r="F29" i="59"/>
  <c r="F34" i="59" s="1"/>
  <c r="D55" i="59" l="1"/>
  <c r="D52" i="59"/>
  <c r="D51" i="59"/>
  <c r="D50" i="59"/>
  <c r="C25" i="59"/>
  <c r="C26" i="59" s="1"/>
  <c r="C27" i="59" l="1"/>
  <c r="C47" i="59" s="1"/>
  <c r="C52" i="59" l="1"/>
  <c r="C50" i="59"/>
  <c r="C51" i="59"/>
  <c r="C55"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D3" authorId="0" shapeId="0" xr:uid="{19E7532C-2CC1-4A90-80A2-0804A2F25AC5}">
      <text>
        <r>
          <rPr>
            <sz val="9"/>
            <color indexed="81"/>
            <rFont val="Tahoma"/>
            <family val="2"/>
          </rPr>
          <t>Oculus</t>
        </r>
      </text>
    </comment>
    <comment ref="D16" authorId="0" shapeId="0" xr:uid="{00000000-0006-0000-0000-000002000000}">
      <text>
        <r>
          <rPr>
            <sz val="9"/>
            <color indexed="81"/>
            <rFont val="Tahoma"/>
            <family val="2"/>
          </rPr>
          <t>ABG</t>
        </r>
      </text>
    </comment>
    <comment ref="D35" authorId="1" shapeId="0" xr:uid="{00000000-0006-0000-0000-000003000000}">
      <text>
        <r>
          <rPr>
            <sz val="8"/>
            <color indexed="81"/>
            <rFont val="Tahoma"/>
            <family val="2"/>
          </rPr>
          <t>Arterra Wines</t>
        </r>
      </text>
    </comment>
    <comment ref="D51" authorId="0" shapeId="0" xr:uid="{00000000-0006-0000-0000-000004000000}">
      <text>
        <r>
          <rPr>
            <sz val="8"/>
            <color indexed="81"/>
            <rFont val="Tahoma"/>
            <family val="2"/>
          </rPr>
          <t>IAA FOLDER</t>
        </r>
      </text>
    </comment>
    <comment ref="D57" authorId="0" shapeId="0" xr:uid="{00000000-0006-0000-0000-000007000000}">
      <text>
        <r>
          <rPr>
            <sz val="8"/>
            <color indexed="81"/>
            <rFont val="Tahoma"/>
            <family val="2"/>
          </rPr>
          <t>Champ Acquisition</t>
        </r>
      </text>
    </comment>
    <comment ref="D61" authorId="0" shapeId="0" xr:uid="{00000000-0006-0000-0000-000008000000}">
      <text>
        <r>
          <rPr>
            <sz val="8"/>
            <color indexed="81"/>
            <rFont val="Tahoma"/>
            <family val="2"/>
          </rPr>
          <t>KDC in folder</t>
        </r>
      </text>
    </comment>
    <comment ref="D64" authorId="0" shapeId="0" xr:uid="{00000000-0006-0000-0000-000009000000}">
      <text>
        <r>
          <rPr>
            <sz val="9"/>
            <color indexed="81"/>
            <rFont val="Tahoma"/>
            <family val="2"/>
          </rPr>
          <t>Motion</t>
        </r>
      </text>
    </comment>
    <comment ref="D69" authorId="0" shapeId="0" xr:uid="{00000000-0006-0000-0000-00000A000000}">
      <text>
        <r>
          <rPr>
            <sz val="9"/>
            <color indexed="81"/>
            <rFont val="Tahoma"/>
            <family val="2"/>
          </rPr>
          <t>Alphabet / Natures bounty</t>
        </r>
      </text>
    </comment>
    <comment ref="D71" authorId="1" shapeId="0" xr:uid="{00000000-0006-0000-0000-00000B000000}">
      <text>
        <r>
          <rPr>
            <sz val="8"/>
            <color indexed="81"/>
            <rFont val="Tahoma"/>
            <family val="2"/>
          </rPr>
          <t>BLUE RIBBON LLC</t>
        </r>
      </text>
    </comment>
    <comment ref="D75" authorId="1" shapeId="0" xr:uid="{00000000-0006-0000-0000-00000C000000}">
      <text>
        <r>
          <rPr>
            <sz val="8"/>
            <color indexed="81"/>
            <rFont val="Tahoma"/>
            <family val="2"/>
          </rPr>
          <t>PSSI Holdings</t>
        </r>
      </text>
    </comment>
    <comment ref="A78" authorId="1" shapeId="0" xr:uid="{00000000-0006-0000-0000-000005000000}">
      <text>
        <r>
          <rPr>
            <sz val="8"/>
            <color indexed="81"/>
            <rFont val="Tahoma"/>
            <family val="2"/>
          </rPr>
          <t>ADT Inc (ADT)</t>
        </r>
      </text>
    </comment>
    <comment ref="D78" authorId="1" shapeId="0" xr:uid="{00000000-0006-0000-0000-000006000000}">
      <text>
        <r>
          <rPr>
            <sz val="8"/>
            <color indexed="81"/>
            <rFont val="Tahoma"/>
            <family val="2"/>
          </rPr>
          <t>Prime Security Services</t>
        </r>
      </text>
    </comment>
    <comment ref="D80" authorId="1" shapeId="0" xr:uid="{00000000-0006-0000-0000-00000D000000}">
      <text>
        <r>
          <rPr>
            <sz val="8"/>
            <color indexed="81"/>
            <rFont val="Tahoma"/>
            <family val="2"/>
          </rPr>
          <t>Recess Holdings</t>
        </r>
      </text>
    </comment>
    <comment ref="D94" authorId="0" shapeId="0" xr:uid="{00000000-0006-0000-0000-00000F000000}">
      <text>
        <r>
          <rPr>
            <sz val="9"/>
            <color indexed="81"/>
            <rFont val="Tahoma"/>
            <family val="2"/>
          </rPr>
          <t>PUG</t>
        </r>
      </text>
    </comment>
    <comment ref="D95" authorId="0" shapeId="0" xr:uid="{00000000-0006-0000-0000-00000E000000}">
      <text>
        <r>
          <rPr>
            <sz val="9"/>
            <color indexed="81"/>
            <rFont val="Tahoma"/>
            <family val="2"/>
          </rPr>
          <t>PUG</t>
        </r>
      </text>
    </comment>
    <comment ref="D98" authorId="1" shapeId="0" xr:uid="{00000000-0006-0000-0000-000010000000}">
      <text>
        <r>
          <rPr>
            <sz val="8"/>
            <color indexed="81"/>
            <rFont val="Tahoma"/>
            <family val="2"/>
          </rPr>
          <t>TMK Hawk</t>
        </r>
      </text>
    </comment>
    <comment ref="D108" authorId="0" shapeId="0" xr:uid="{246A6D41-919D-4DC2-B6B8-E64C280986B7}">
      <text>
        <r>
          <rPr>
            <sz val="8"/>
            <color indexed="81"/>
            <rFont val="Tahoma"/>
            <family val="2"/>
          </rPr>
          <t>Worley Claims - Folder</t>
        </r>
      </text>
    </comment>
    <comment ref="D114" authorId="0" shapeId="0" xr:uid="{00000000-0006-0000-0000-000011000000}">
      <text>
        <r>
          <rPr>
            <sz val="8"/>
            <color indexed="81"/>
            <rFont val="Tahoma"/>
            <family val="2"/>
          </rPr>
          <t>Whatabrands</t>
        </r>
      </text>
    </comment>
    <comment ref="D115" authorId="1" shapeId="0" xr:uid="{00000000-0006-0000-0000-000012000000}">
      <text>
        <r>
          <rPr>
            <sz val="8"/>
            <color indexed="81"/>
            <rFont val="Tahoma"/>
            <family val="2"/>
          </rPr>
          <t>Lakeland Tours</t>
        </r>
      </text>
    </comment>
    <comment ref="D116" authorId="0" shapeId="0" xr:uid="{00000000-0006-0000-0000-000013000000}">
      <text>
        <r>
          <rPr>
            <sz val="8"/>
            <color indexed="81"/>
            <rFont val="Tahoma"/>
            <family val="2"/>
          </rPr>
          <t>Worley Claims - Folder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E25" authorId="0" shapeId="0" xr:uid="{48D645CF-4AD6-423B-859D-1888324EFA55}">
      <text>
        <r>
          <rPr>
            <sz val="9"/>
            <color indexed="81"/>
            <rFont val="Tahoma"/>
            <family val="2"/>
          </rPr>
          <t>Conv. using 12/31/2019 exchange rate</t>
        </r>
      </text>
    </comment>
    <comment ref="I27" authorId="0" shapeId="0" xr:uid="{00000000-0006-0000-1200-000001000000}">
      <text>
        <r>
          <rPr>
            <sz val="8"/>
            <color indexed="81"/>
            <rFont val="Tahoma"/>
            <family val="2"/>
          </rPr>
          <t>Converted @1.35 as per presentation</t>
        </r>
      </text>
    </comment>
    <comment ref="E40" authorId="0" shapeId="0" xr:uid="{00000000-0006-0000-1200-000002000000}">
      <text>
        <r>
          <rPr>
            <sz val="9"/>
            <color indexed="81"/>
            <rFont val="Tahoma"/>
            <family val="2"/>
          </rPr>
          <t>Conv. using 12/31/2019 exchange rate</t>
        </r>
      </text>
    </comment>
    <comment ref="E41" authorId="0" shapeId="0" xr:uid="{00000000-0006-0000-1200-000003000000}">
      <text>
        <r>
          <rPr>
            <sz val="9"/>
            <color indexed="81"/>
            <rFont val="Tahoma"/>
            <family val="2"/>
          </rPr>
          <t>Reverse calculated using 6.1x Net leverage and cash numbers from preliminary result</t>
        </r>
      </text>
    </comment>
    <comment ref="E44" authorId="0" shapeId="0" xr:uid="{00000000-0006-0000-1200-000004000000}">
      <text>
        <r>
          <rPr>
            <sz val="9"/>
            <color indexed="81"/>
            <rFont val="Tahoma"/>
            <family val="2"/>
          </rPr>
          <t>Conv. using 12/31/2019 exchange rate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C40" authorId="0" shapeId="0" xr:uid="{B8CB4C0F-4CA9-42C2-8E84-DD675907210C}">
      <text>
        <r>
          <rPr>
            <sz val="8"/>
            <color indexed="81"/>
            <rFont val="Tahoma"/>
            <family val="2"/>
          </rPr>
          <t>Source: York Model</t>
        </r>
      </text>
    </comment>
    <comment ref="D40" authorId="0" shapeId="0" xr:uid="{96E1EF52-6BB8-4ACD-8AA0-A557AB4A252D}">
      <text>
        <r>
          <rPr>
            <sz val="8"/>
            <color indexed="81"/>
            <rFont val="Tahoma"/>
            <family val="2"/>
          </rPr>
          <t>Source: York Model</t>
        </r>
      </text>
    </comment>
    <comment ref="E40" authorId="0" shapeId="0" xr:uid="{00000000-0006-0000-1300-000001000000}">
      <text>
        <r>
          <rPr>
            <sz val="8"/>
            <color indexed="81"/>
            <rFont val="Tahoma"/>
            <family val="2"/>
          </rPr>
          <t>Source: York Model</t>
        </r>
      </text>
    </comment>
    <comment ref="F40" authorId="0" shapeId="0" xr:uid="{00000000-0006-0000-1300-000002000000}">
      <text>
        <r>
          <rPr>
            <sz val="8"/>
            <color indexed="81"/>
            <rFont val="Tahoma"/>
            <family val="2"/>
          </rPr>
          <t>Source: York Model</t>
        </r>
      </text>
    </comment>
    <comment ref="G40" authorId="0" shapeId="0" xr:uid="{00000000-0006-0000-1300-000003000000}">
      <text>
        <r>
          <rPr>
            <sz val="8"/>
            <color indexed="81"/>
            <rFont val="Tahoma"/>
            <family val="2"/>
          </rPr>
          <t>Source: York Model</t>
        </r>
      </text>
    </comment>
    <comment ref="H40" authorId="0" shapeId="0" xr:uid="{00000000-0006-0000-1300-000004000000}">
      <text>
        <r>
          <rPr>
            <sz val="8"/>
            <color indexed="81"/>
            <rFont val="Tahoma"/>
            <family val="2"/>
          </rPr>
          <t>Source: York Model</t>
        </r>
      </text>
    </comment>
    <comment ref="I40" authorId="0" shapeId="0" xr:uid="{00000000-0006-0000-1300-000005000000}">
      <text>
        <r>
          <rPr>
            <sz val="8"/>
            <color indexed="81"/>
            <rFont val="Tahoma"/>
            <family val="2"/>
          </rPr>
          <t>Source: York Model</t>
        </r>
      </text>
    </comment>
    <comment ref="J40" authorId="0" shapeId="0" xr:uid="{00000000-0006-0000-1300-000006000000}">
      <text>
        <r>
          <rPr>
            <sz val="8"/>
            <color indexed="81"/>
            <rFont val="Tahoma"/>
            <family val="2"/>
          </rPr>
          <t>Source: York Model</t>
        </r>
      </text>
    </comment>
    <comment ref="K40" authorId="0" shapeId="0" xr:uid="{00000000-0006-0000-1300-000007000000}">
      <text>
        <r>
          <rPr>
            <sz val="8"/>
            <color indexed="81"/>
            <rFont val="Tahoma"/>
            <family val="2"/>
          </rPr>
          <t>Source: York Model</t>
        </r>
      </text>
    </comment>
    <comment ref="J44" authorId="0" shapeId="0" xr:uid="{00000000-0006-0000-1300-000008000000}">
      <text>
        <r>
          <rPr>
            <sz val="8"/>
            <color indexed="81"/>
            <rFont val="Tahoma"/>
            <family val="2"/>
          </rPr>
          <t>Pro Forma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s>
  <commentList>
    <comment ref="A12" authorId="0" shapeId="0" xr:uid="{00000000-0006-0000-1500-000001000000}">
      <text>
        <r>
          <rPr>
            <sz val="8"/>
            <color indexed="81"/>
            <rFont val="Tahoma"/>
            <family val="2"/>
          </rPr>
          <t>Net revenue (net of   Pass-throughs</t>
        </r>
      </text>
    </comment>
    <comment ref="J39" authorId="1" shapeId="0" xr:uid="{00000000-0006-0000-1500-000002000000}">
      <text>
        <r>
          <rPr>
            <sz val="8"/>
            <color indexed="81"/>
            <rFont val="Tahoma"/>
            <family val="2"/>
          </rPr>
          <t>Pro Forma</t>
        </r>
      </text>
    </comment>
    <comment ref="J40" authorId="1" shapeId="0" xr:uid="{00000000-0006-0000-1500-000003000000}">
      <text>
        <r>
          <rPr>
            <sz val="8"/>
            <color indexed="81"/>
            <rFont val="Tahoma"/>
            <family val="2"/>
          </rPr>
          <t>Pro Forma</t>
        </r>
      </text>
    </comment>
    <comment ref="J41" authorId="1" shapeId="0" xr:uid="{00000000-0006-0000-1500-000004000000}">
      <text>
        <r>
          <rPr>
            <sz val="8"/>
            <color indexed="81"/>
            <rFont val="Tahoma"/>
            <family val="2"/>
          </rPr>
          <t>Pro Forma</t>
        </r>
      </text>
    </comment>
    <comment ref="J42" authorId="1" shapeId="0" xr:uid="{00000000-0006-0000-1500-000005000000}">
      <text>
        <r>
          <rPr>
            <sz val="8"/>
            <color indexed="81"/>
            <rFont val="Tahoma"/>
            <family val="2"/>
          </rPr>
          <t>Pro Forma</t>
        </r>
      </text>
    </comment>
    <comment ref="J44" authorId="1" shapeId="0" xr:uid="{00000000-0006-0000-1500-000006000000}">
      <text>
        <r>
          <rPr>
            <sz val="8"/>
            <color indexed="81"/>
            <rFont val="Tahoma"/>
            <family val="2"/>
          </rPr>
          <t>Pro Forma</t>
        </r>
      </text>
    </comment>
    <comment ref="J47" authorId="1" shapeId="0" xr:uid="{00000000-0006-0000-1500-000007000000}">
      <text>
        <r>
          <rPr>
            <sz val="8"/>
            <color indexed="81"/>
            <rFont val="Tahoma"/>
            <family val="2"/>
          </rPr>
          <t>Pro Forma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25" authorId="0" shapeId="0" xr:uid="{E7029341-3DD6-4C00-AD91-33B90CDCFAEC}">
      <text>
        <r>
          <rPr>
            <sz val="9"/>
            <color indexed="81"/>
            <rFont val="Tahoma"/>
            <family val="2"/>
          </rPr>
          <t>Assumed to be the same due to lack of information</t>
        </r>
      </text>
    </comment>
    <comment ref="C25" authorId="0" shapeId="0" xr:uid="{EB90F60B-F83D-4067-8118-928EC4D599A9}">
      <text>
        <r>
          <rPr>
            <sz val="9"/>
            <color indexed="81"/>
            <rFont val="Tahoma"/>
            <family val="2"/>
          </rPr>
          <t>Assumed to be the same due to lack of information</t>
        </r>
      </text>
    </comment>
    <comment ref="E42" authorId="0" shapeId="0" xr:uid="{00000000-0006-0000-1600-000007000000}">
      <text>
        <r>
          <rPr>
            <sz val="8"/>
            <color indexed="81"/>
            <rFont val="Tahoma"/>
            <family val="2"/>
          </rPr>
          <t>PF</t>
        </r>
      </text>
    </comment>
    <comment ref="F42" authorId="0" shapeId="0" xr:uid="{00000000-0006-0000-1600-000008000000}">
      <text>
        <r>
          <rPr>
            <sz val="8"/>
            <color indexed="81"/>
            <rFont val="Tahoma"/>
            <family val="2"/>
          </rPr>
          <t>PF</t>
        </r>
      </text>
    </comment>
    <comment ref="G42" authorId="0" shapeId="0" xr:uid="{00000000-0006-0000-1600-000009000000}">
      <text>
        <r>
          <rPr>
            <sz val="8"/>
            <color indexed="81"/>
            <rFont val="Tahoma"/>
            <family val="2"/>
          </rPr>
          <t>PF</t>
        </r>
      </text>
    </comment>
    <comment ref="F44" authorId="0" shapeId="0" xr:uid="{00000000-0006-0000-1600-00000A000000}">
      <text>
        <r>
          <rPr>
            <sz val="8"/>
            <color indexed="81"/>
            <rFont val="Tahoma"/>
            <family val="2"/>
          </rPr>
          <t>PF</t>
        </r>
      </text>
    </comment>
    <comment ref="G44" authorId="0" shapeId="0" xr:uid="{00000000-0006-0000-1600-00000B000000}">
      <text>
        <r>
          <rPr>
            <sz val="8"/>
            <color indexed="81"/>
            <rFont val="Tahoma"/>
            <family val="2"/>
          </rPr>
          <t>PF</t>
        </r>
      </text>
    </comment>
    <comment ref="B47" authorId="0" shapeId="0" xr:uid="{6710A71D-A1A0-4F28-B1BC-82D413CCB14E}">
      <text>
        <r>
          <rPr>
            <sz val="8"/>
            <color indexed="81"/>
            <rFont val="Tahoma"/>
            <family val="2"/>
          </rPr>
          <t>PF</t>
        </r>
      </text>
    </comment>
    <comment ref="C47" authorId="0" shapeId="0" xr:uid="{973D7CF8-391D-4882-90F0-082259431772}">
      <text>
        <r>
          <rPr>
            <sz val="8"/>
            <color indexed="81"/>
            <rFont val="Tahoma"/>
            <family val="2"/>
          </rPr>
          <t>PF</t>
        </r>
      </text>
    </comment>
    <comment ref="D47" authorId="0" shapeId="0" xr:uid="{B86F19C9-7441-4170-A3F8-1A147516713B}">
      <text>
        <r>
          <rPr>
            <sz val="8"/>
            <color indexed="81"/>
            <rFont val="Tahoma"/>
            <family val="2"/>
          </rPr>
          <t>PF</t>
        </r>
      </text>
    </comment>
    <comment ref="E47" authorId="0" shapeId="0" xr:uid="{00000000-0006-0000-1600-00000C000000}">
      <text>
        <r>
          <rPr>
            <sz val="8"/>
            <color indexed="81"/>
            <rFont val="Tahoma"/>
            <family val="2"/>
          </rPr>
          <t>PF</t>
        </r>
      </text>
    </comment>
    <comment ref="F47" authorId="0" shapeId="0" xr:uid="{00000000-0006-0000-1600-00000D000000}">
      <text>
        <r>
          <rPr>
            <sz val="8"/>
            <color indexed="81"/>
            <rFont val="Tahoma"/>
            <family val="2"/>
          </rPr>
          <t>PF</t>
        </r>
      </text>
    </comment>
    <comment ref="G47" authorId="0" shapeId="0" xr:uid="{00000000-0006-0000-1600-00000E000000}">
      <text>
        <r>
          <rPr>
            <sz val="8"/>
            <color indexed="81"/>
            <rFont val="Tahoma"/>
            <family val="2"/>
          </rPr>
          <t>PF</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44" authorId="0" shapeId="0" xr:uid="{00000000-0006-0000-1700-000001000000}">
      <text>
        <r>
          <rPr>
            <sz val="8"/>
            <color indexed="81"/>
            <rFont val="Tahoma"/>
            <family val="2"/>
          </rPr>
          <t>Including cheques
Source: TLB Package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J39" authorId="0" shapeId="0" xr:uid="{00000000-0006-0000-1800-000001000000}">
      <text>
        <r>
          <rPr>
            <sz val="8"/>
            <color indexed="81"/>
            <rFont val="Tahoma"/>
            <family val="2"/>
          </rPr>
          <t>PF</t>
        </r>
      </text>
    </comment>
    <comment ref="J40" authorId="0" shapeId="0" xr:uid="{00000000-0006-0000-1800-000002000000}">
      <text>
        <r>
          <rPr>
            <sz val="8"/>
            <color indexed="81"/>
            <rFont val="Tahoma"/>
            <family val="2"/>
          </rPr>
          <t>PF</t>
        </r>
      </text>
    </comment>
    <comment ref="J41" authorId="0" shapeId="0" xr:uid="{00000000-0006-0000-1800-000003000000}">
      <text>
        <r>
          <rPr>
            <sz val="8"/>
            <color indexed="81"/>
            <rFont val="Tahoma"/>
            <family val="2"/>
          </rPr>
          <t>PF</t>
        </r>
      </text>
    </comment>
    <comment ref="J42" authorId="0" shapeId="0" xr:uid="{00000000-0006-0000-1800-000004000000}">
      <text>
        <r>
          <rPr>
            <sz val="8"/>
            <color indexed="81"/>
            <rFont val="Tahoma"/>
            <family val="2"/>
          </rPr>
          <t>PF</t>
        </r>
      </text>
    </comment>
    <comment ref="J44" authorId="0" shapeId="0" xr:uid="{00000000-0006-0000-1800-000005000000}">
      <text>
        <r>
          <rPr>
            <sz val="8"/>
            <color indexed="81"/>
            <rFont val="Tahoma"/>
            <family val="2"/>
          </rPr>
          <t>PF</t>
        </r>
      </text>
    </comment>
    <comment ref="J47" authorId="0" shapeId="0" xr:uid="{00000000-0006-0000-1800-000007000000}">
      <text>
        <r>
          <rPr>
            <sz val="8"/>
            <color indexed="81"/>
            <rFont val="Tahoma"/>
            <family val="2"/>
          </rPr>
          <t>PF</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E39" authorId="0" shapeId="0" xr:uid="{B6FF170C-BF65-40C2-8504-097BAC00EFCA}">
      <text>
        <r>
          <rPr>
            <sz val="9"/>
            <color indexed="81"/>
            <rFont val="Tahoma"/>
            <family val="2"/>
          </rPr>
          <t>PF</t>
        </r>
      </text>
    </comment>
    <comment ref="K39" authorId="0" shapeId="0" xr:uid="{00000000-0006-0000-1D00-000001000000}">
      <text>
        <r>
          <rPr>
            <sz val="8"/>
            <color indexed="81"/>
            <rFont val="Tahoma"/>
            <family val="2"/>
          </rPr>
          <t>PF</t>
        </r>
      </text>
    </comment>
    <comment ref="E40" authorId="0" shapeId="0" xr:uid="{A95B455B-DA73-467E-B2CB-9F71467C96A4}">
      <text>
        <r>
          <rPr>
            <sz val="9"/>
            <color indexed="81"/>
            <rFont val="Tahoma"/>
            <family val="2"/>
          </rPr>
          <t>PF</t>
        </r>
      </text>
    </comment>
    <comment ref="K40" authorId="0" shapeId="0" xr:uid="{00000000-0006-0000-1D00-000002000000}">
      <text>
        <r>
          <rPr>
            <sz val="8"/>
            <color indexed="81"/>
            <rFont val="Tahoma"/>
            <family val="2"/>
          </rPr>
          <t>PF</t>
        </r>
      </text>
    </comment>
    <comment ref="E41" authorId="0" shapeId="0" xr:uid="{F071E5FA-6EDD-4874-8D9A-1B7CC8FDAE7E}">
      <text>
        <r>
          <rPr>
            <sz val="9"/>
            <color indexed="81"/>
            <rFont val="Tahoma"/>
            <family val="2"/>
          </rPr>
          <t>PF</t>
        </r>
      </text>
    </comment>
    <comment ref="K41" authorId="0" shapeId="0" xr:uid="{00000000-0006-0000-1D00-000003000000}">
      <text>
        <r>
          <rPr>
            <sz val="8"/>
            <color indexed="81"/>
            <rFont val="Tahoma"/>
            <family val="2"/>
          </rPr>
          <t>PF</t>
        </r>
      </text>
    </comment>
    <comment ref="A42" authorId="1" shapeId="0" xr:uid="{00000000-0006-0000-1D00-000004000000}">
      <text>
        <r>
          <rPr>
            <sz val="8"/>
            <color indexed="81"/>
            <rFont val="Tahoma"/>
            <family val="2"/>
          </rPr>
          <t>Source: York Model</t>
        </r>
      </text>
    </comment>
    <comment ref="K42" authorId="0" shapeId="0" xr:uid="{00000000-0006-0000-1D00-000005000000}">
      <text>
        <r>
          <rPr>
            <sz val="8"/>
            <color indexed="81"/>
            <rFont val="Tahoma"/>
            <family val="2"/>
          </rPr>
          <t>PF</t>
        </r>
      </text>
    </comment>
    <comment ref="E44" authorId="0" shapeId="0" xr:uid="{04B06F96-63AF-473F-844D-11E94FAED2FA}">
      <text>
        <r>
          <rPr>
            <sz val="9"/>
            <color indexed="81"/>
            <rFont val="Tahoma"/>
            <family val="2"/>
          </rPr>
          <t>PF</t>
        </r>
      </text>
    </comment>
    <comment ref="K44" authorId="0" shapeId="0" xr:uid="{00000000-0006-0000-1D00-000006000000}">
      <text>
        <r>
          <rPr>
            <sz val="8"/>
            <color indexed="81"/>
            <rFont val="Tahoma"/>
            <family val="2"/>
          </rPr>
          <t>PF</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I39" authorId="0" shapeId="0" xr:uid="{00000000-0006-0000-1E00-000001000000}">
      <text>
        <r>
          <rPr>
            <sz val="8"/>
            <color indexed="81"/>
            <rFont val="Tahoma"/>
            <family val="2"/>
          </rPr>
          <t>Pro Forma</t>
        </r>
      </text>
    </comment>
    <comment ref="I40" authorId="0" shapeId="0" xr:uid="{00000000-0006-0000-1E00-000002000000}">
      <text>
        <r>
          <rPr>
            <sz val="8"/>
            <color indexed="81"/>
            <rFont val="Tahoma"/>
            <family val="2"/>
          </rPr>
          <t>Pro Forma</t>
        </r>
      </text>
    </comment>
    <comment ref="I41" authorId="0" shapeId="0" xr:uid="{00000000-0006-0000-1E00-000003000000}">
      <text>
        <r>
          <rPr>
            <sz val="8"/>
            <color indexed="81"/>
            <rFont val="Tahoma"/>
            <family val="2"/>
          </rPr>
          <t>Pro Forma</t>
        </r>
      </text>
    </comment>
    <comment ref="I42" authorId="0" shapeId="0" xr:uid="{00000000-0006-0000-1E00-000004000000}">
      <text>
        <r>
          <rPr>
            <sz val="8"/>
            <color indexed="81"/>
            <rFont val="Tahoma"/>
            <family val="2"/>
          </rPr>
          <t>Pro Forma
Source: York Model</t>
        </r>
      </text>
    </comment>
    <comment ref="I44" authorId="0" shapeId="0" xr:uid="{00000000-0006-0000-1E00-000005000000}">
      <text>
        <r>
          <rPr>
            <sz val="8"/>
            <color indexed="81"/>
            <rFont val="Tahoma"/>
            <family val="2"/>
          </rPr>
          <t>Pro Forma</t>
        </r>
      </text>
    </comment>
    <comment ref="I46" authorId="0" shapeId="0" xr:uid="{00000000-0006-0000-1E00-000006000000}">
      <text>
        <r>
          <rPr>
            <sz val="8"/>
            <color indexed="81"/>
            <rFont val="Tahoma"/>
            <family val="2"/>
          </rPr>
          <t>Pro Forma
Source: York Model</t>
        </r>
      </text>
    </comment>
    <comment ref="I47" authorId="0" shapeId="0" xr:uid="{00000000-0006-0000-1E00-000007000000}">
      <text>
        <r>
          <rPr>
            <sz val="8"/>
            <color indexed="81"/>
            <rFont val="Tahoma"/>
            <family val="2"/>
          </rPr>
          <t>Pro Forma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Q48" authorId="0" shapeId="0" xr:uid="{00000000-0006-0000-1F00-000001000000}">
      <text>
        <r>
          <rPr>
            <sz val="8"/>
            <color indexed="81"/>
            <rFont val="Tahoma"/>
            <family val="2"/>
          </rPr>
          <t>Calculated</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s>
  <commentList>
    <comment ref="A16" authorId="0" shapeId="0" xr:uid="{00000000-0006-0000-2000-000001000000}">
      <text>
        <r>
          <rPr>
            <sz val="8"/>
            <color indexed="81"/>
            <rFont val="Tahoma"/>
            <family val="2"/>
          </rPr>
          <t>Adjusted EBITDA (Pre-SAC)</t>
        </r>
      </text>
    </comment>
    <comment ref="B39" authorId="1" shapeId="0" xr:uid="{00000000-0006-0000-2000-000002000000}">
      <text>
        <r>
          <rPr>
            <sz val="8"/>
            <color indexed="81"/>
            <rFont val="Tahoma"/>
            <family val="2"/>
          </rPr>
          <t>Pro Forma</t>
        </r>
      </text>
    </comment>
    <comment ref="B40" authorId="1" shapeId="0" xr:uid="{00000000-0006-0000-2000-000003000000}">
      <text>
        <r>
          <rPr>
            <sz val="8"/>
            <color indexed="81"/>
            <rFont val="Tahoma"/>
            <family val="2"/>
          </rPr>
          <t>Pro Forma</t>
        </r>
      </text>
    </comment>
    <comment ref="C40" authorId="1" shapeId="0" xr:uid="{00000000-0006-0000-2000-000004000000}">
      <text>
        <r>
          <rPr>
            <sz val="8"/>
            <color indexed="81"/>
            <rFont val="Tahoma"/>
            <family val="2"/>
          </rPr>
          <t>Assumed</t>
        </r>
      </text>
    </comment>
    <comment ref="B41" authorId="1" shapeId="0" xr:uid="{00000000-0006-0000-2000-000005000000}">
      <text>
        <r>
          <rPr>
            <sz val="8"/>
            <color indexed="81"/>
            <rFont val="Tahoma"/>
            <family val="2"/>
          </rPr>
          <t>Pro Forma</t>
        </r>
      </text>
    </comment>
    <comment ref="B42" authorId="1" shapeId="0" xr:uid="{00000000-0006-0000-2000-000006000000}">
      <text>
        <r>
          <rPr>
            <sz val="8"/>
            <color indexed="81"/>
            <rFont val="Tahoma"/>
            <family val="2"/>
          </rPr>
          <t>Pro Forma</t>
        </r>
      </text>
    </comment>
    <comment ref="B44" authorId="1" shapeId="0" xr:uid="{00000000-0006-0000-2000-000007000000}">
      <text>
        <r>
          <rPr>
            <sz val="8"/>
            <color indexed="81"/>
            <rFont val="Tahoma"/>
            <family val="2"/>
          </rPr>
          <t>Pro Forma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A42" authorId="0" shapeId="0" xr:uid="{00000000-0006-0000-0400-000001000000}">
      <text>
        <r>
          <rPr>
            <sz val="8"/>
            <color indexed="81"/>
            <rFont val="Tahoma"/>
            <family val="2"/>
          </rPr>
          <t>Source: York Model</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E12" authorId="0" shapeId="0" xr:uid="{0692F6FA-20E4-4310-AAF2-0FA185A44062}">
      <text>
        <r>
          <rPr>
            <sz val="9"/>
            <color indexed="81"/>
            <rFont val="Tahoma"/>
            <family val="2"/>
          </rPr>
          <t>PF</t>
        </r>
      </text>
    </comment>
    <comment ref="F12" authorId="0" shapeId="0" xr:uid="{E205A361-8387-4D70-B83F-722E2F6A674F}">
      <text>
        <r>
          <rPr>
            <sz val="9"/>
            <color indexed="81"/>
            <rFont val="Tahoma"/>
            <family val="2"/>
          </rPr>
          <t>PF</t>
        </r>
      </text>
    </comment>
    <comment ref="G12" authorId="0" shapeId="0" xr:uid="{3C480D99-0F38-40C4-8E24-CE10E36F0D1E}">
      <text>
        <r>
          <rPr>
            <sz val="9"/>
            <color indexed="81"/>
            <rFont val="Tahoma"/>
            <family val="2"/>
          </rPr>
          <t>PF</t>
        </r>
      </text>
    </comment>
    <comment ref="I12" authorId="0" shapeId="0" xr:uid="{1070B124-B0E4-4920-8A6D-6F9F7EB6771B}">
      <text>
        <r>
          <rPr>
            <sz val="9"/>
            <color indexed="81"/>
            <rFont val="Tahoma"/>
            <family val="2"/>
          </rPr>
          <t>PF</t>
        </r>
      </text>
    </comment>
    <comment ref="J12" authorId="0" shapeId="0" xr:uid="{AA9EB45D-3E0F-4E6A-AAF5-A525FE576373}">
      <text>
        <r>
          <rPr>
            <sz val="9"/>
            <color indexed="81"/>
            <rFont val="Tahoma"/>
            <family val="2"/>
          </rPr>
          <t>PF</t>
        </r>
      </text>
    </comment>
    <comment ref="K12" authorId="0" shapeId="0" xr:uid="{20086602-99D3-4D23-8274-D5BCC874909F}">
      <text>
        <r>
          <rPr>
            <sz val="9"/>
            <color indexed="81"/>
            <rFont val="Tahoma"/>
            <family val="2"/>
          </rPr>
          <t>PF</t>
        </r>
      </text>
    </comment>
    <comment ref="E16" authorId="0" shapeId="0" xr:uid="{C15142BA-F81D-499C-8520-818221F85CBF}">
      <text>
        <r>
          <rPr>
            <sz val="9"/>
            <color indexed="81"/>
            <rFont val="Tahoma"/>
            <family val="2"/>
          </rPr>
          <t>PF</t>
        </r>
      </text>
    </comment>
    <comment ref="F16" authorId="0" shapeId="0" xr:uid="{BC51E51A-FA47-436A-A045-07BE3DACC4FF}">
      <text>
        <r>
          <rPr>
            <sz val="9"/>
            <color indexed="81"/>
            <rFont val="Tahoma"/>
            <family val="2"/>
          </rPr>
          <t>PF</t>
        </r>
      </text>
    </comment>
    <comment ref="G16" authorId="0" shapeId="0" xr:uid="{FF0C7654-8040-4B7D-9076-AE478F9BE75D}">
      <text>
        <r>
          <rPr>
            <sz val="9"/>
            <color indexed="81"/>
            <rFont val="Tahoma"/>
            <family val="2"/>
          </rPr>
          <t>PF</t>
        </r>
      </text>
    </comment>
    <comment ref="I16" authorId="0" shapeId="0" xr:uid="{840752AA-9D70-4428-B387-A07F812A737C}">
      <text>
        <r>
          <rPr>
            <sz val="9"/>
            <color indexed="81"/>
            <rFont val="Tahoma"/>
            <family val="2"/>
          </rPr>
          <t>PF</t>
        </r>
      </text>
    </comment>
    <comment ref="J16" authorId="0" shapeId="0" xr:uid="{1620ED6F-7686-4400-B059-F3C001D1A4B4}">
      <text>
        <r>
          <rPr>
            <sz val="9"/>
            <color indexed="81"/>
            <rFont val="Tahoma"/>
            <family val="2"/>
          </rPr>
          <t>PF</t>
        </r>
      </text>
    </comment>
    <comment ref="K16" authorId="0" shapeId="0" xr:uid="{610B5086-1352-410F-914C-F8DF1B89810C}">
      <text>
        <r>
          <rPr>
            <sz val="9"/>
            <color indexed="81"/>
            <rFont val="Tahoma"/>
            <family val="2"/>
          </rPr>
          <t>PF</t>
        </r>
      </text>
    </comment>
    <comment ref="E24" authorId="0" shapeId="0" xr:uid="{91D65D49-9B54-4D15-A9CB-85B82A63C2C9}">
      <text>
        <r>
          <rPr>
            <sz val="9"/>
            <color indexed="81"/>
            <rFont val="Tahoma"/>
            <family val="2"/>
          </rPr>
          <t>PF</t>
        </r>
      </text>
    </comment>
    <comment ref="F24" authorId="0" shapeId="0" xr:uid="{5982287F-2012-4837-8626-7252A5F98803}">
      <text>
        <r>
          <rPr>
            <sz val="9"/>
            <color indexed="81"/>
            <rFont val="Tahoma"/>
            <family val="2"/>
          </rPr>
          <t>PF</t>
        </r>
      </text>
    </comment>
    <comment ref="G24" authorId="0" shapeId="0" xr:uid="{9A7997BA-8009-4BB3-B2B2-9D949F3099EA}">
      <text>
        <r>
          <rPr>
            <sz val="9"/>
            <color indexed="81"/>
            <rFont val="Tahoma"/>
            <family val="2"/>
          </rPr>
          <t>PF</t>
        </r>
      </text>
    </comment>
    <comment ref="B37" authorId="0" shapeId="0" xr:uid="{24A98C36-1E38-4346-A096-1D51D2DF3D95}">
      <text>
        <r>
          <rPr>
            <sz val="9"/>
            <color indexed="81"/>
            <rFont val="Tahoma"/>
            <family val="2"/>
          </rPr>
          <t>PF</t>
        </r>
      </text>
    </comment>
    <comment ref="C37" authorId="0" shapeId="0" xr:uid="{5B99FC38-A4C7-43D8-A16C-4CA786BD288C}">
      <text>
        <r>
          <rPr>
            <sz val="9"/>
            <color indexed="81"/>
            <rFont val="Tahoma"/>
            <family val="2"/>
          </rPr>
          <t>PF</t>
        </r>
      </text>
    </comment>
    <comment ref="D37" authorId="0" shapeId="0" xr:uid="{6979C678-ACEB-4690-8954-7B7CA9FE0034}">
      <text>
        <r>
          <rPr>
            <sz val="9"/>
            <color indexed="81"/>
            <rFont val="Tahoma"/>
            <family val="2"/>
          </rPr>
          <t>PF</t>
        </r>
      </text>
    </comment>
    <comment ref="E37" authorId="0" shapeId="0" xr:uid="{CA6AD487-576C-4019-9EF5-E5BBF2E9CF7D}">
      <text>
        <r>
          <rPr>
            <sz val="9"/>
            <color indexed="81"/>
            <rFont val="Tahoma"/>
            <family val="2"/>
          </rPr>
          <t>PF</t>
        </r>
      </text>
    </comment>
    <comment ref="F37" authorId="0" shapeId="0" xr:uid="{792CC9D1-1648-4D25-A443-F3E85425A0DC}">
      <text>
        <r>
          <rPr>
            <sz val="9"/>
            <color indexed="81"/>
            <rFont val="Tahoma"/>
            <family val="2"/>
          </rPr>
          <t>PF</t>
        </r>
      </text>
    </comment>
    <comment ref="G37" authorId="0" shapeId="0" xr:uid="{8D1C1AFD-6AE4-4D87-A9B3-8E79F1205A7B}">
      <text>
        <r>
          <rPr>
            <sz val="9"/>
            <color indexed="81"/>
            <rFont val="Tahoma"/>
            <family val="2"/>
          </rPr>
          <t>PF</t>
        </r>
      </text>
    </comment>
    <comment ref="I37" authorId="0" shapeId="0" xr:uid="{B9CA7BAE-2539-47E2-A120-9257451D9E4C}">
      <text>
        <r>
          <rPr>
            <sz val="9"/>
            <color indexed="81"/>
            <rFont val="Tahoma"/>
            <family val="2"/>
          </rPr>
          <t>PF</t>
        </r>
      </text>
    </comment>
    <comment ref="J37" authorId="0" shapeId="0" xr:uid="{FAC58376-233C-4D34-B482-43E59A4DC246}">
      <text>
        <r>
          <rPr>
            <sz val="9"/>
            <color indexed="81"/>
            <rFont val="Tahoma"/>
            <family val="2"/>
          </rPr>
          <t>PF</t>
        </r>
      </text>
    </comment>
    <comment ref="K37" authorId="0" shapeId="0" xr:uid="{C63A3E75-F2FC-4F77-BA5C-78A5A7D13AC1}">
      <text>
        <r>
          <rPr>
            <sz val="9"/>
            <color indexed="81"/>
            <rFont val="Tahoma"/>
            <family val="2"/>
          </rPr>
          <t>PF</t>
        </r>
      </text>
    </comment>
    <comment ref="I42" authorId="0" shapeId="0" xr:uid="{00000000-0006-0000-2100-000001000000}">
      <text>
        <r>
          <rPr>
            <sz val="8"/>
            <color indexed="81"/>
            <rFont val="Tahoma"/>
            <family val="2"/>
          </rPr>
          <t>Source: York Model</t>
        </r>
      </text>
    </comment>
    <comment ref="J42" authorId="0" shapeId="0" xr:uid="{00000000-0006-0000-2100-000002000000}">
      <text>
        <r>
          <rPr>
            <sz val="8"/>
            <color indexed="81"/>
            <rFont val="Tahoma"/>
            <family val="2"/>
          </rPr>
          <t>Source: York Model</t>
        </r>
      </text>
    </comment>
    <comment ref="K42" authorId="0" shapeId="0" xr:uid="{00000000-0006-0000-2100-000003000000}">
      <text>
        <r>
          <rPr>
            <sz val="8"/>
            <color indexed="81"/>
            <rFont val="Tahoma"/>
            <family val="2"/>
          </rPr>
          <t>Source: York Model</t>
        </r>
      </text>
    </comment>
    <comment ref="L42" authorId="0" shapeId="0" xr:uid="{00000000-0006-0000-2100-000004000000}">
      <text>
        <r>
          <rPr>
            <sz val="8"/>
            <color indexed="81"/>
            <rFont val="Tahoma"/>
            <family val="2"/>
          </rPr>
          <t>Source: York Model</t>
        </r>
      </text>
    </comment>
    <comment ref="M42" authorId="0" shapeId="0" xr:uid="{00000000-0006-0000-2100-000005000000}">
      <text>
        <r>
          <rPr>
            <sz val="8"/>
            <color indexed="81"/>
            <rFont val="Tahoma"/>
            <family val="2"/>
          </rPr>
          <t>Source: York Model</t>
        </r>
      </text>
    </comment>
    <comment ref="N42" authorId="0" shapeId="0" xr:uid="{00000000-0006-0000-2100-000006000000}">
      <text>
        <r>
          <rPr>
            <sz val="8"/>
            <color indexed="81"/>
            <rFont val="Tahoma"/>
            <family val="2"/>
          </rPr>
          <t>Source: York Model</t>
        </r>
      </text>
    </comment>
    <comment ref="O42" authorId="0" shapeId="0" xr:uid="{00000000-0006-0000-2100-000007000000}">
      <text>
        <r>
          <rPr>
            <sz val="8"/>
            <color indexed="81"/>
            <rFont val="Tahoma"/>
            <family val="2"/>
          </rPr>
          <t>Source: York Model</t>
        </r>
      </text>
    </comment>
    <comment ref="I46" authorId="0" shapeId="0" xr:uid="{00000000-0006-0000-2100-000008000000}">
      <text>
        <r>
          <rPr>
            <sz val="8"/>
            <color indexed="81"/>
            <rFont val="Tahoma"/>
            <family val="2"/>
          </rPr>
          <t>Source: Presentation</t>
        </r>
      </text>
    </comment>
    <comment ref="J46" authorId="0" shapeId="0" xr:uid="{00000000-0006-0000-2100-000009000000}">
      <text>
        <r>
          <rPr>
            <sz val="8"/>
            <color indexed="81"/>
            <rFont val="Tahoma"/>
            <family val="2"/>
          </rPr>
          <t>Source: Presentation</t>
        </r>
      </text>
    </comment>
    <comment ref="K46" authorId="0" shapeId="0" xr:uid="{00000000-0006-0000-2100-00000A000000}">
      <text>
        <r>
          <rPr>
            <sz val="8"/>
            <color indexed="81"/>
            <rFont val="Tahoma"/>
            <family val="2"/>
          </rPr>
          <t>Source: Presentation</t>
        </r>
      </text>
    </comment>
    <comment ref="L46" authorId="0" shapeId="0" xr:uid="{00000000-0006-0000-2100-00000B000000}">
      <text>
        <r>
          <rPr>
            <sz val="8"/>
            <color indexed="81"/>
            <rFont val="Tahoma"/>
            <family val="2"/>
          </rPr>
          <t>Source: Presentation</t>
        </r>
      </text>
    </comment>
    <comment ref="M46" authorId="0" shapeId="0" xr:uid="{00000000-0006-0000-2100-00000C000000}">
      <text>
        <r>
          <rPr>
            <sz val="8"/>
            <color indexed="81"/>
            <rFont val="Tahoma"/>
            <family val="2"/>
          </rPr>
          <t>Source: Presentation</t>
        </r>
      </text>
    </comment>
    <comment ref="N46" authorId="0" shapeId="0" xr:uid="{00000000-0006-0000-2100-00000D000000}">
      <text>
        <r>
          <rPr>
            <sz val="8"/>
            <color indexed="81"/>
            <rFont val="Tahoma"/>
            <family val="2"/>
          </rPr>
          <t>Source: Presentation</t>
        </r>
      </text>
    </comment>
    <comment ref="O46" authorId="0" shapeId="0" xr:uid="{00000000-0006-0000-2100-00000E000000}">
      <text>
        <r>
          <rPr>
            <sz val="8"/>
            <color indexed="81"/>
            <rFont val="Tahoma"/>
            <family val="2"/>
          </rPr>
          <t>Source: Presentation</t>
        </r>
      </text>
    </comment>
    <comment ref="P46" authorId="0" shapeId="0" xr:uid="{00000000-0006-0000-2100-00000F000000}">
      <text>
        <r>
          <rPr>
            <sz val="8"/>
            <color indexed="81"/>
            <rFont val="Tahoma"/>
            <family val="2"/>
          </rPr>
          <t>Source: Presentation</t>
        </r>
      </text>
    </comment>
    <comment ref="I47" authorId="0" shapeId="0" xr:uid="{00000000-0006-0000-2100-000010000000}">
      <text>
        <r>
          <rPr>
            <sz val="8"/>
            <color indexed="81"/>
            <rFont val="Tahoma"/>
            <family val="2"/>
          </rPr>
          <t>Source: Presentation</t>
        </r>
      </text>
    </comment>
    <comment ref="J47" authorId="0" shapeId="0" xr:uid="{00000000-0006-0000-2100-000011000000}">
      <text>
        <r>
          <rPr>
            <sz val="8"/>
            <color indexed="81"/>
            <rFont val="Tahoma"/>
            <family val="2"/>
          </rPr>
          <t>Source: Presentation</t>
        </r>
      </text>
    </comment>
    <comment ref="K47" authorId="0" shapeId="0" xr:uid="{00000000-0006-0000-2100-000012000000}">
      <text>
        <r>
          <rPr>
            <sz val="8"/>
            <color indexed="81"/>
            <rFont val="Tahoma"/>
            <family val="2"/>
          </rPr>
          <t>Source: Presentation</t>
        </r>
      </text>
    </comment>
    <comment ref="L47" authorId="0" shapeId="0" xr:uid="{00000000-0006-0000-2100-000013000000}">
      <text>
        <r>
          <rPr>
            <sz val="8"/>
            <color indexed="81"/>
            <rFont val="Tahoma"/>
            <family val="2"/>
          </rPr>
          <t>Source: Presentation</t>
        </r>
      </text>
    </comment>
    <comment ref="M47" authorId="0" shapeId="0" xr:uid="{00000000-0006-0000-2100-000014000000}">
      <text>
        <r>
          <rPr>
            <sz val="8"/>
            <color indexed="81"/>
            <rFont val="Tahoma"/>
            <family val="2"/>
          </rPr>
          <t>Source: Presentation</t>
        </r>
      </text>
    </comment>
    <comment ref="N47" authorId="0" shapeId="0" xr:uid="{00000000-0006-0000-2100-000015000000}">
      <text>
        <r>
          <rPr>
            <sz val="8"/>
            <color indexed="81"/>
            <rFont val="Tahoma"/>
            <family val="2"/>
          </rPr>
          <t>Source: Presentation</t>
        </r>
      </text>
    </comment>
    <comment ref="O47" authorId="0" shapeId="0" xr:uid="{00000000-0006-0000-2100-000016000000}">
      <text>
        <r>
          <rPr>
            <sz val="8"/>
            <color indexed="81"/>
            <rFont val="Tahoma"/>
            <family val="2"/>
          </rPr>
          <t>Source: Presentation</t>
        </r>
      </text>
    </comment>
    <comment ref="P47" authorId="0" shapeId="0" xr:uid="{00000000-0006-0000-2100-000017000000}">
      <text>
        <r>
          <rPr>
            <sz val="8"/>
            <color indexed="81"/>
            <rFont val="Tahoma"/>
            <family val="2"/>
          </rPr>
          <t>Source: Presentation</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N44" authorId="0" shapeId="0" xr:uid="{00000000-0006-0000-2300-000001000000}">
      <text>
        <r>
          <rPr>
            <sz val="8"/>
            <color indexed="81"/>
            <rFont val="Tahoma"/>
            <family val="2"/>
          </rPr>
          <t>PF Cash</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M12" authorId="0" shapeId="0" xr:uid="{00000000-0006-0000-2400-000001000000}">
      <text>
        <r>
          <rPr>
            <sz val="8"/>
            <color indexed="81"/>
            <rFont val="Tahoma"/>
            <family val="2"/>
          </rPr>
          <t>PF from Presentation</t>
        </r>
      </text>
    </comment>
    <comment ref="N12" authorId="0" shapeId="0" xr:uid="{00000000-0006-0000-2400-000002000000}">
      <text>
        <r>
          <rPr>
            <sz val="8"/>
            <color indexed="81"/>
            <rFont val="Tahoma"/>
            <family val="2"/>
          </rPr>
          <t>PF from Presentation</t>
        </r>
      </text>
    </comment>
    <comment ref="O12" authorId="0" shapeId="0" xr:uid="{00000000-0006-0000-2400-000003000000}">
      <text>
        <r>
          <rPr>
            <sz val="8"/>
            <color indexed="81"/>
            <rFont val="Tahoma"/>
            <family val="2"/>
          </rPr>
          <t>PF from Presentation</t>
        </r>
      </text>
    </comment>
    <comment ref="P12" authorId="0" shapeId="0" xr:uid="{00000000-0006-0000-2400-000004000000}">
      <text>
        <r>
          <rPr>
            <sz val="8"/>
            <color indexed="81"/>
            <rFont val="Tahoma"/>
            <family val="2"/>
          </rPr>
          <t>PF from Presentation</t>
        </r>
      </text>
    </comment>
    <comment ref="Q12" authorId="0" shapeId="0" xr:uid="{00000000-0006-0000-2400-000005000000}">
      <text>
        <r>
          <rPr>
            <sz val="8"/>
            <color indexed="81"/>
            <rFont val="Tahoma"/>
            <family val="2"/>
          </rPr>
          <t>PF from Presentation</t>
        </r>
      </text>
    </comment>
    <comment ref="R12" authorId="0" shapeId="0" xr:uid="{00000000-0006-0000-2400-000006000000}">
      <text>
        <r>
          <rPr>
            <sz val="8"/>
            <color indexed="81"/>
            <rFont val="Tahoma"/>
            <family val="2"/>
          </rPr>
          <t>PF from Presentation</t>
        </r>
      </text>
    </comment>
    <comment ref="S12" authorId="0" shapeId="0" xr:uid="{00000000-0006-0000-2400-000007000000}">
      <text>
        <r>
          <rPr>
            <sz val="8"/>
            <color indexed="81"/>
            <rFont val="Tahoma"/>
            <family val="2"/>
          </rPr>
          <t>PF from Presentation</t>
        </r>
      </text>
    </comment>
    <comment ref="M22" authorId="0" shapeId="0" xr:uid="{00000000-0006-0000-2400-000008000000}">
      <text>
        <r>
          <rPr>
            <sz val="8"/>
            <color indexed="81"/>
            <rFont val="Tahoma"/>
            <family val="2"/>
          </rPr>
          <t>PF from Presentation</t>
        </r>
      </text>
    </comment>
    <comment ref="N22" authorId="0" shapeId="0" xr:uid="{00000000-0006-0000-2400-000009000000}">
      <text>
        <r>
          <rPr>
            <sz val="8"/>
            <color indexed="81"/>
            <rFont val="Tahoma"/>
            <family val="2"/>
          </rPr>
          <t>PF from Presentation</t>
        </r>
      </text>
    </comment>
    <comment ref="O22" authorId="0" shapeId="0" xr:uid="{00000000-0006-0000-2400-00000A000000}">
      <text>
        <r>
          <rPr>
            <sz val="8"/>
            <color indexed="81"/>
            <rFont val="Tahoma"/>
            <family val="2"/>
          </rPr>
          <t>PF from Presentation</t>
        </r>
      </text>
    </comment>
    <comment ref="P22" authorId="0" shapeId="0" xr:uid="{00000000-0006-0000-2400-00000B000000}">
      <text>
        <r>
          <rPr>
            <sz val="8"/>
            <color indexed="81"/>
            <rFont val="Tahoma"/>
            <family val="2"/>
          </rPr>
          <t>PF from Presentation</t>
        </r>
      </text>
    </comment>
    <comment ref="Q22" authorId="0" shapeId="0" xr:uid="{00000000-0006-0000-2400-00000C000000}">
      <text>
        <r>
          <rPr>
            <sz val="8"/>
            <color indexed="81"/>
            <rFont val="Tahoma"/>
            <family val="2"/>
          </rPr>
          <t>PF from Presentation</t>
        </r>
      </text>
    </comment>
    <comment ref="R22" authorId="0" shapeId="0" xr:uid="{00000000-0006-0000-2400-00000D000000}">
      <text>
        <r>
          <rPr>
            <sz val="8"/>
            <color indexed="81"/>
            <rFont val="Tahoma"/>
            <family val="2"/>
          </rPr>
          <t>PF from Presentation</t>
        </r>
      </text>
    </comment>
    <comment ref="S22" authorId="0" shapeId="0" xr:uid="{00000000-0006-0000-2400-00000E000000}">
      <text>
        <r>
          <rPr>
            <sz val="8"/>
            <color indexed="81"/>
            <rFont val="Tahoma"/>
            <family val="2"/>
          </rPr>
          <t>PF from Presentation</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L39" authorId="0" shapeId="0" xr:uid="{00000000-0006-0000-2500-000001000000}">
      <text>
        <r>
          <rPr>
            <sz val="8"/>
            <color indexed="81"/>
            <rFont val="Tahoma"/>
            <family val="2"/>
          </rPr>
          <t>PF</t>
        </r>
      </text>
    </comment>
    <comment ref="L40" authorId="0" shapeId="0" xr:uid="{00000000-0006-0000-2500-000002000000}">
      <text>
        <r>
          <rPr>
            <sz val="8"/>
            <color indexed="81"/>
            <rFont val="Tahoma"/>
            <family val="2"/>
          </rPr>
          <t>PF</t>
        </r>
      </text>
    </comment>
    <comment ref="L41" authorId="0" shapeId="0" xr:uid="{00000000-0006-0000-2500-000003000000}">
      <text>
        <r>
          <rPr>
            <sz val="8"/>
            <color indexed="81"/>
            <rFont val="Tahoma"/>
            <family val="2"/>
          </rPr>
          <t>PF</t>
        </r>
      </text>
    </comment>
    <comment ref="A42" authorId="1" shapeId="0" xr:uid="{00000000-0006-0000-2500-000004000000}">
      <text>
        <r>
          <rPr>
            <sz val="8"/>
            <color indexed="81"/>
            <rFont val="Tahoma"/>
            <family val="2"/>
          </rPr>
          <t>Source: York Model</t>
        </r>
      </text>
    </comment>
    <comment ref="L42" authorId="0" shapeId="0" xr:uid="{00000000-0006-0000-2500-000005000000}">
      <text>
        <r>
          <rPr>
            <sz val="8"/>
            <color indexed="81"/>
            <rFont val="Tahoma"/>
            <family val="2"/>
          </rPr>
          <t>PF</t>
        </r>
      </text>
    </comment>
    <comment ref="L44" authorId="0" shapeId="0" xr:uid="{00000000-0006-0000-2500-000006000000}">
      <text>
        <r>
          <rPr>
            <sz val="8"/>
            <color indexed="81"/>
            <rFont val="Tahoma"/>
            <family val="2"/>
          </rPr>
          <t>PF</t>
        </r>
      </text>
    </comment>
    <comment ref="Q48" authorId="1" shapeId="0" xr:uid="{00000000-0006-0000-2500-000007000000}">
      <text>
        <r>
          <rPr>
            <sz val="8"/>
            <color indexed="81"/>
            <rFont val="Tahoma"/>
            <family val="2"/>
          </rPr>
          <t>Source: York model</t>
        </r>
      </text>
    </comment>
    <comment ref="R48" authorId="1" shapeId="0" xr:uid="{00000000-0006-0000-2500-000008000000}">
      <text>
        <r>
          <rPr>
            <sz val="8"/>
            <color indexed="81"/>
            <rFont val="Tahoma"/>
            <family val="2"/>
          </rPr>
          <t>Source: York model</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Parikshit Marathe</author>
    <author>Deepak Rawat</author>
  </authors>
  <commentList>
    <comment ref="M16" authorId="0" shapeId="0" xr:uid="{00000000-0006-0000-2600-000001000000}">
      <text>
        <r>
          <rPr>
            <sz val="8"/>
            <color indexed="81"/>
            <rFont val="Tahoma"/>
            <family val="2"/>
          </rPr>
          <t>UFC Q2 2018 Lender Update Call vF</t>
        </r>
      </text>
    </comment>
    <comment ref="N16" authorId="0" shapeId="0" xr:uid="{00000000-0006-0000-2600-000002000000}">
      <text>
        <r>
          <rPr>
            <sz val="8"/>
            <color indexed="81"/>
            <rFont val="Tahoma"/>
            <family val="2"/>
          </rPr>
          <t>UFC Q2 2018 Lender Update Call vF</t>
        </r>
      </text>
    </comment>
    <comment ref="O16" authorId="0" shapeId="0" xr:uid="{00000000-0006-0000-2600-000003000000}">
      <text>
        <r>
          <rPr>
            <sz val="8"/>
            <color indexed="81"/>
            <rFont val="Tahoma"/>
            <family val="2"/>
          </rPr>
          <t>UFC Q2 2018 Lender Update Call vF</t>
        </r>
      </text>
    </comment>
    <comment ref="K40" authorId="1" shapeId="0" xr:uid="{00000000-0006-0000-2600-000004000000}">
      <text>
        <r>
          <rPr>
            <sz val="8"/>
            <color indexed="81"/>
            <rFont val="Tahoma"/>
            <family val="2"/>
          </rPr>
          <t>PF Debt from York Model</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6" authorId="0" shapeId="0" xr:uid="{00000000-0006-0000-2700-000001000000}">
      <text>
        <r>
          <rPr>
            <sz val="8"/>
            <color indexed="81"/>
            <rFont val="Tahoma"/>
            <family val="2"/>
          </rPr>
          <t>SYM</t>
        </r>
      </text>
    </comment>
    <comment ref="N39" authorId="0" shapeId="0" xr:uid="{00000000-0006-0000-2700-000002000000}">
      <text>
        <r>
          <rPr>
            <sz val="8"/>
            <color indexed="81"/>
            <rFont val="Tahoma"/>
            <family val="2"/>
          </rPr>
          <t>Pro Forma</t>
        </r>
      </text>
    </comment>
    <comment ref="N40" authorId="0" shapeId="0" xr:uid="{00000000-0006-0000-2700-000003000000}">
      <text>
        <r>
          <rPr>
            <sz val="8"/>
            <color indexed="81"/>
            <rFont val="Tahoma"/>
            <family val="2"/>
          </rPr>
          <t>Pro Forma</t>
        </r>
      </text>
    </comment>
    <comment ref="N41" authorId="0" shapeId="0" xr:uid="{00000000-0006-0000-2700-000004000000}">
      <text>
        <r>
          <rPr>
            <sz val="8"/>
            <color indexed="81"/>
            <rFont val="Tahoma"/>
            <family val="2"/>
          </rPr>
          <t>Pro Forma</t>
        </r>
      </text>
    </comment>
    <comment ref="N44" authorId="0" shapeId="0" xr:uid="{00000000-0006-0000-2700-000005000000}">
      <text>
        <r>
          <rPr>
            <sz val="8"/>
            <color indexed="81"/>
            <rFont val="Tahoma"/>
            <family val="2"/>
          </rPr>
          <t>Pro Forma</t>
        </r>
      </text>
    </comment>
    <comment ref="N47" authorId="0" shapeId="0" xr:uid="{00000000-0006-0000-2700-000006000000}">
      <text>
        <r>
          <rPr>
            <sz val="8"/>
            <color indexed="81"/>
            <rFont val="Tahoma"/>
            <family val="2"/>
          </rPr>
          <t>Pro Forma</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Deepak Rawat</author>
    <author>Parikshit Marathe</author>
  </authors>
  <commentList>
    <comment ref="C25" authorId="0" shapeId="0" xr:uid="{00000000-0006-0000-2800-000001000000}">
      <text>
        <r>
          <rPr>
            <sz val="8"/>
            <color indexed="81"/>
            <rFont val="Tahoma"/>
            <family val="2"/>
          </rPr>
          <t>Price Increase - $3.4
Assumed to be the same due to lack of information</t>
        </r>
      </text>
    </comment>
    <comment ref="D25" authorId="0" shapeId="0" xr:uid="{00000000-0006-0000-2800-000002000000}">
      <text>
        <r>
          <rPr>
            <sz val="8"/>
            <color indexed="81"/>
            <rFont val="Tahoma"/>
            <family val="2"/>
          </rPr>
          <t>Price Increase - $3.4</t>
        </r>
      </text>
    </comment>
    <comment ref="C39" authorId="0" shapeId="0" xr:uid="{00000000-0006-0000-2800-000003000000}">
      <text>
        <r>
          <rPr>
            <sz val="8"/>
            <color indexed="81"/>
            <rFont val="Tahoma"/>
            <family val="2"/>
          </rPr>
          <t>PF</t>
        </r>
      </text>
    </comment>
    <comment ref="D39" authorId="0" shapeId="0" xr:uid="{00000000-0006-0000-2800-000004000000}">
      <text>
        <r>
          <rPr>
            <sz val="8"/>
            <color indexed="81"/>
            <rFont val="Tahoma"/>
            <family val="2"/>
          </rPr>
          <t>PF</t>
        </r>
      </text>
    </comment>
    <comment ref="C40" authorId="0" shapeId="0" xr:uid="{00000000-0006-0000-2800-000005000000}">
      <text>
        <r>
          <rPr>
            <sz val="8"/>
            <color indexed="81"/>
            <rFont val="Tahoma"/>
            <family val="2"/>
          </rPr>
          <t>PF</t>
        </r>
      </text>
    </comment>
    <comment ref="D40" authorId="0" shapeId="0" xr:uid="{00000000-0006-0000-2800-000006000000}">
      <text>
        <r>
          <rPr>
            <sz val="8"/>
            <color indexed="81"/>
            <rFont val="Tahoma"/>
            <family val="2"/>
          </rPr>
          <t>PF</t>
        </r>
      </text>
    </comment>
    <comment ref="C41" authorId="0" shapeId="0" xr:uid="{00000000-0006-0000-2800-000007000000}">
      <text>
        <r>
          <rPr>
            <sz val="8"/>
            <color indexed="81"/>
            <rFont val="Tahoma"/>
            <family val="2"/>
          </rPr>
          <t>PF</t>
        </r>
      </text>
    </comment>
    <comment ref="D41" authorId="0" shapeId="0" xr:uid="{00000000-0006-0000-2800-000008000000}">
      <text>
        <r>
          <rPr>
            <sz val="8"/>
            <color indexed="81"/>
            <rFont val="Tahoma"/>
            <family val="2"/>
          </rPr>
          <t>PF</t>
        </r>
      </text>
    </comment>
    <comment ref="C42" authorId="0" shapeId="0" xr:uid="{00000000-0006-0000-2800-000009000000}">
      <text>
        <r>
          <rPr>
            <sz val="8"/>
            <color indexed="81"/>
            <rFont val="Tahoma"/>
            <family val="2"/>
          </rPr>
          <t>PF</t>
        </r>
      </text>
    </comment>
    <comment ref="D42" authorId="0" shapeId="0" xr:uid="{00000000-0006-0000-2800-00000A000000}">
      <text>
        <r>
          <rPr>
            <sz val="8"/>
            <color indexed="81"/>
            <rFont val="Tahoma"/>
            <family val="2"/>
          </rPr>
          <t>PF</t>
        </r>
      </text>
    </comment>
    <comment ref="D44" authorId="0" shapeId="0" xr:uid="{00000000-0006-0000-2800-00000B000000}">
      <text>
        <r>
          <rPr>
            <sz val="8"/>
            <color indexed="81"/>
            <rFont val="Tahoma"/>
            <family val="2"/>
          </rPr>
          <t>PF</t>
        </r>
      </text>
    </comment>
    <comment ref="D46" authorId="0" shapeId="0" xr:uid="{00000000-0006-0000-2800-00000C000000}">
      <text>
        <r>
          <rPr>
            <sz val="8"/>
            <color indexed="81"/>
            <rFont val="Tahoma"/>
            <family val="2"/>
          </rPr>
          <t>PF</t>
        </r>
      </text>
    </comment>
    <comment ref="C47" authorId="0" shapeId="0" xr:uid="{00000000-0006-0000-2800-00000D000000}">
      <text>
        <r>
          <rPr>
            <sz val="8"/>
            <color indexed="81"/>
            <rFont val="Tahoma"/>
            <family val="2"/>
          </rPr>
          <t>PF</t>
        </r>
      </text>
    </comment>
    <comment ref="D47" authorId="0" shapeId="0" xr:uid="{00000000-0006-0000-2800-00000E000000}">
      <text>
        <r>
          <rPr>
            <sz val="8"/>
            <color indexed="81"/>
            <rFont val="Tahoma"/>
            <family val="2"/>
          </rPr>
          <t>PF</t>
        </r>
      </text>
    </comment>
    <comment ref="F48" authorId="1" shapeId="0" xr:uid="{00000000-0006-0000-2800-00000F000000}">
      <text>
        <r>
          <rPr>
            <sz val="8"/>
            <color indexed="81"/>
            <rFont val="Tahoma"/>
            <family val="2"/>
          </rPr>
          <t>LTM As of 12/31/2016
Source: York Model</t>
        </r>
      </text>
    </comment>
    <comment ref="G48" authorId="1" shapeId="0" xr:uid="{00000000-0006-0000-2800-000010000000}">
      <text>
        <r>
          <rPr>
            <sz val="8"/>
            <color indexed="81"/>
            <rFont val="Tahoma"/>
            <family val="2"/>
          </rPr>
          <t>LTM As of 12/31/2016
Source: York Model</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E26" authorId="0" shapeId="0" xr:uid="{1AE80B22-6158-42C8-A677-8205DBEF455D}">
      <text>
        <r>
          <rPr>
            <sz val="8"/>
            <color indexed="81"/>
            <rFont val="Tahoma"/>
            <family val="2"/>
          </rPr>
          <t>PF LTM EBITDA from Compliance Certificate</t>
        </r>
      </text>
    </comment>
    <comment ref="F26" authorId="0" shapeId="0" xr:uid="{B7B83E33-1323-4BEF-8465-24B5827418DF}">
      <text>
        <r>
          <rPr>
            <sz val="8"/>
            <color indexed="81"/>
            <rFont val="Tahoma"/>
            <family val="2"/>
          </rPr>
          <t>PF LTM EBITDA from Compliance Certificate</t>
        </r>
      </text>
    </comment>
    <comment ref="G26" authorId="0" shapeId="0" xr:uid="{DB3F4324-3561-4071-8CF2-8A7EB45BB9FD}">
      <text>
        <r>
          <rPr>
            <sz val="8"/>
            <color indexed="81"/>
            <rFont val="Tahoma"/>
            <family val="2"/>
          </rPr>
          <t>PF LTM EBITDA from Compliance Certificate</t>
        </r>
      </text>
    </comment>
    <comment ref="H26" authorId="0" shapeId="0" xr:uid="{4945EA96-4A13-46CD-86EC-3AB7A6A09465}">
      <text>
        <r>
          <rPr>
            <sz val="8"/>
            <color indexed="81"/>
            <rFont val="Tahoma"/>
            <family val="2"/>
          </rPr>
          <t>PF LTM EBITDA from Compliance Certificate</t>
        </r>
      </text>
    </comment>
    <comment ref="I26" authorId="0" shapeId="0" xr:uid="{00000000-0006-0000-2900-000001000000}">
      <text>
        <r>
          <rPr>
            <sz val="8"/>
            <color indexed="81"/>
            <rFont val="Tahoma"/>
            <family val="2"/>
          </rPr>
          <t>PF LTM EBITDA from Compliance Certificate</t>
        </r>
      </text>
    </comment>
    <comment ref="J26" authorId="0" shapeId="0" xr:uid="{00000000-0006-0000-2900-000002000000}">
      <text>
        <r>
          <rPr>
            <sz val="8"/>
            <color indexed="81"/>
            <rFont val="Tahoma"/>
            <family val="2"/>
          </rPr>
          <t>PF Adjustments from Lenders Presentation</t>
        </r>
      </text>
    </comment>
    <comment ref="K26" authorId="0" shapeId="0" xr:uid="{00000000-0006-0000-2900-000003000000}">
      <text>
        <r>
          <rPr>
            <sz val="8"/>
            <color indexed="81"/>
            <rFont val="Tahoma"/>
            <family val="2"/>
          </rPr>
          <t>PF Adjustments from York Model</t>
        </r>
      </text>
    </comment>
    <comment ref="M26" authorId="0" shapeId="0" xr:uid="{00000000-0006-0000-2900-000004000000}">
      <text>
        <r>
          <rPr>
            <sz val="8"/>
            <color indexed="81"/>
            <rFont val="Tahoma"/>
            <family val="2"/>
          </rPr>
          <t>Assumed to be the same due to lack of information</t>
        </r>
      </text>
    </comment>
    <comment ref="O26" authorId="0" shapeId="0" xr:uid="{00000000-0006-0000-2900-000005000000}">
      <text>
        <r>
          <rPr>
            <sz val="8"/>
            <color indexed="81"/>
            <rFont val="Tahoma"/>
            <family val="2"/>
          </rPr>
          <t>Assumed to be the same due to lack of information</t>
        </r>
      </text>
    </comment>
    <comment ref="J39" authorId="0" shapeId="0" xr:uid="{00000000-0006-0000-2900-000006000000}">
      <text>
        <r>
          <rPr>
            <b/>
            <sz val="8"/>
            <color indexed="81"/>
            <rFont val="Tahoma"/>
            <family val="2"/>
          </rPr>
          <t>PF</t>
        </r>
      </text>
    </comment>
    <comment ref="K39" authorId="0" shapeId="0" xr:uid="{00000000-0006-0000-2900-000007000000}">
      <text>
        <r>
          <rPr>
            <b/>
            <sz val="8"/>
            <color indexed="81"/>
            <rFont val="Tahoma"/>
            <family val="2"/>
          </rPr>
          <t>PF</t>
        </r>
      </text>
    </comment>
    <comment ref="L39" authorId="0" shapeId="0" xr:uid="{00000000-0006-0000-2900-000008000000}">
      <text>
        <r>
          <rPr>
            <b/>
            <sz val="8"/>
            <color indexed="81"/>
            <rFont val="Tahoma"/>
            <family val="2"/>
          </rPr>
          <t>PF</t>
        </r>
      </text>
    </comment>
    <comment ref="N39" authorId="0" shapeId="0" xr:uid="{00000000-0006-0000-2900-000009000000}">
      <text>
        <r>
          <rPr>
            <b/>
            <sz val="8"/>
            <color indexed="81"/>
            <rFont val="Tahoma"/>
            <family val="2"/>
          </rPr>
          <t>PF</t>
        </r>
      </text>
    </comment>
    <comment ref="I40" authorId="0" shapeId="0" xr:uid="{00000000-0006-0000-2900-00000A000000}">
      <text>
        <r>
          <rPr>
            <sz val="8"/>
            <color indexed="81"/>
            <rFont val="Tahoma"/>
            <family val="2"/>
          </rPr>
          <t>Includes Capital Lease of $2.0mm - $0.141mm adjustment</t>
        </r>
      </text>
    </comment>
    <comment ref="J40" authorId="0" shapeId="0" xr:uid="{00000000-0006-0000-2900-00000B000000}">
      <text>
        <r>
          <rPr>
            <b/>
            <sz val="8"/>
            <color indexed="81"/>
            <rFont val="Tahoma"/>
            <family val="2"/>
          </rPr>
          <t>PF</t>
        </r>
      </text>
    </comment>
    <comment ref="K40" authorId="0" shapeId="0" xr:uid="{00000000-0006-0000-2900-00000C000000}">
      <text>
        <r>
          <rPr>
            <b/>
            <sz val="8"/>
            <color indexed="81"/>
            <rFont val="Tahoma"/>
            <family val="2"/>
          </rPr>
          <t>PF</t>
        </r>
      </text>
    </comment>
    <comment ref="L40" authorId="0" shapeId="0" xr:uid="{00000000-0006-0000-2900-00000D000000}">
      <text>
        <r>
          <rPr>
            <b/>
            <sz val="8"/>
            <color indexed="81"/>
            <rFont val="Tahoma"/>
            <family val="2"/>
          </rPr>
          <t>PF</t>
        </r>
      </text>
    </comment>
    <comment ref="N40" authorId="0" shapeId="0" xr:uid="{00000000-0006-0000-2900-00000E000000}">
      <text>
        <r>
          <rPr>
            <b/>
            <sz val="8"/>
            <color indexed="81"/>
            <rFont val="Tahoma"/>
            <family val="2"/>
          </rPr>
          <t>PF</t>
        </r>
      </text>
    </comment>
    <comment ref="J41" authorId="0" shapeId="0" xr:uid="{00000000-0006-0000-2900-00000F000000}">
      <text>
        <r>
          <rPr>
            <b/>
            <sz val="8"/>
            <color indexed="81"/>
            <rFont val="Tahoma"/>
            <family val="2"/>
          </rPr>
          <t>PF</t>
        </r>
      </text>
    </comment>
    <comment ref="K41" authorId="0" shapeId="0" xr:uid="{00000000-0006-0000-2900-000010000000}">
      <text>
        <r>
          <rPr>
            <b/>
            <sz val="8"/>
            <color indexed="81"/>
            <rFont val="Tahoma"/>
            <family val="2"/>
          </rPr>
          <t>PF</t>
        </r>
      </text>
    </comment>
    <comment ref="L41" authorId="0" shapeId="0" xr:uid="{00000000-0006-0000-2900-000011000000}">
      <text>
        <r>
          <rPr>
            <b/>
            <sz val="8"/>
            <color indexed="81"/>
            <rFont val="Tahoma"/>
            <family val="2"/>
          </rPr>
          <t>PF</t>
        </r>
      </text>
    </comment>
    <comment ref="N41" authorId="0" shapeId="0" xr:uid="{00000000-0006-0000-2900-000012000000}">
      <text>
        <r>
          <rPr>
            <b/>
            <sz val="8"/>
            <color indexed="81"/>
            <rFont val="Tahoma"/>
            <family val="2"/>
          </rPr>
          <t>PF</t>
        </r>
      </text>
    </comment>
    <comment ref="J42" authorId="0" shapeId="0" xr:uid="{00000000-0006-0000-2900-000013000000}">
      <text>
        <r>
          <rPr>
            <b/>
            <sz val="8"/>
            <color indexed="81"/>
            <rFont val="Tahoma"/>
            <family val="2"/>
          </rPr>
          <t>PF</t>
        </r>
      </text>
    </comment>
    <comment ref="K42" authorId="0" shapeId="0" xr:uid="{00000000-0006-0000-2900-000014000000}">
      <text>
        <r>
          <rPr>
            <b/>
            <sz val="8"/>
            <color indexed="81"/>
            <rFont val="Tahoma"/>
            <family val="2"/>
          </rPr>
          <t>PF</t>
        </r>
      </text>
    </comment>
    <comment ref="L42" authorId="0" shapeId="0" xr:uid="{00000000-0006-0000-2900-000015000000}">
      <text>
        <r>
          <rPr>
            <b/>
            <sz val="8"/>
            <color indexed="81"/>
            <rFont val="Tahoma"/>
            <family val="2"/>
          </rPr>
          <t>PF</t>
        </r>
      </text>
    </comment>
    <comment ref="N42" authorId="0" shapeId="0" xr:uid="{00000000-0006-0000-2900-000016000000}">
      <text>
        <r>
          <rPr>
            <b/>
            <sz val="8"/>
            <color indexed="81"/>
            <rFont val="Tahoma"/>
            <family val="2"/>
          </rPr>
          <t>PF</t>
        </r>
      </text>
    </comment>
    <comment ref="J44" authorId="0" shapeId="0" xr:uid="{00000000-0006-0000-2900-000017000000}">
      <text>
        <r>
          <rPr>
            <b/>
            <sz val="8"/>
            <color indexed="81"/>
            <rFont val="Tahoma"/>
            <family val="2"/>
          </rPr>
          <t>PF</t>
        </r>
      </text>
    </comment>
    <comment ref="K44" authorId="0" shapeId="0" xr:uid="{00000000-0006-0000-2900-000018000000}">
      <text>
        <r>
          <rPr>
            <b/>
            <sz val="8"/>
            <color indexed="81"/>
            <rFont val="Tahoma"/>
            <family val="2"/>
          </rPr>
          <t>PF</t>
        </r>
      </text>
    </comment>
    <comment ref="L44" authorId="0" shapeId="0" xr:uid="{00000000-0006-0000-2900-000019000000}">
      <text>
        <r>
          <rPr>
            <b/>
            <sz val="8"/>
            <color indexed="81"/>
            <rFont val="Tahoma"/>
            <family val="2"/>
          </rPr>
          <t>PF</t>
        </r>
      </text>
    </comment>
    <comment ref="N44" authorId="0" shapeId="0" xr:uid="{00000000-0006-0000-2900-00001A000000}">
      <text>
        <r>
          <rPr>
            <b/>
            <sz val="8"/>
            <color indexed="81"/>
            <rFont val="Tahoma"/>
            <family val="2"/>
          </rPr>
          <t>PF</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Deepak Rawat</author>
    <author>Michael Sorna</author>
  </authors>
  <commentList>
    <comment ref="B12" authorId="0" shapeId="0" xr:uid="{CC0D259E-B698-4658-91F8-5E30DC1BF006}">
      <text>
        <r>
          <rPr>
            <sz val="9"/>
            <color indexed="81"/>
            <rFont val="Tahoma"/>
            <family val="2"/>
          </rPr>
          <t>Source: Presentation</t>
        </r>
      </text>
    </comment>
    <comment ref="C12" authorId="0" shapeId="0" xr:uid="{5623008D-20C3-4AE7-9B7D-B89D9B81469C}">
      <text>
        <r>
          <rPr>
            <sz val="9"/>
            <color indexed="81"/>
            <rFont val="Tahoma"/>
            <family val="2"/>
          </rPr>
          <t>Source: Presentation</t>
        </r>
      </text>
    </comment>
    <comment ref="E12" authorId="0" shapeId="0" xr:uid="{859DDB0B-4B62-448A-8EC1-5AF47943F352}">
      <text>
        <r>
          <rPr>
            <sz val="9"/>
            <color indexed="81"/>
            <rFont val="Tahoma"/>
            <family val="2"/>
          </rPr>
          <t>Source: Presentation</t>
        </r>
      </text>
    </comment>
    <comment ref="F12" authorId="0" shapeId="0" xr:uid="{0238DB6D-208A-44CB-B507-CFAB99684590}">
      <text>
        <r>
          <rPr>
            <sz val="9"/>
            <color indexed="81"/>
            <rFont val="Tahoma"/>
            <family val="2"/>
          </rPr>
          <t>Source: Presentation</t>
        </r>
      </text>
    </comment>
    <comment ref="G12" authorId="0" shapeId="0" xr:uid="{B6906F0D-5BC2-4584-8769-C4BABD21809D}">
      <text>
        <r>
          <rPr>
            <sz val="9"/>
            <color indexed="81"/>
            <rFont val="Tahoma"/>
            <family val="2"/>
          </rPr>
          <t>Source: Presentation</t>
        </r>
      </text>
    </comment>
    <comment ref="I12" authorId="0" shapeId="0" xr:uid="{A66DDDA1-CBD1-492B-A1D8-793E443B0DBE}">
      <text>
        <r>
          <rPr>
            <sz val="9"/>
            <color indexed="81"/>
            <rFont val="Tahoma"/>
            <family val="2"/>
          </rPr>
          <t>Source: Presentation</t>
        </r>
      </text>
    </comment>
    <comment ref="B16" authorId="0" shapeId="0" xr:uid="{687897F7-350C-4C94-B696-36C88A987898}">
      <text>
        <r>
          <rPr>
            <sz val="9"/>
            <color indexed="81"/>
            <rFont val="Tahoma"/>
            <family val="2"/>
          </rPr>
          <t>Source: Presentation</t>
        </r>
      </text>
    </comment>
    <comment ref="C16" authorId="0" shapeId="0" xr:uid="{CFA1EE41-7603-4934-9516-532EAAA8EEDD}">
      <text>
        <r>
          <rPr>
            <sz val="9"/>
            <color indexed="81"/>
            <rFont val="Tahoma"/>
            <family val="2"/>
          </rPr>
          <t>Source: Presentation</t>
        </r>
      </text>
    </comment>
    <comment ref="E16" authorId="0" shapeId="0" xr:uid="{AF8621BE-480B-4078-A3A7-E70DBA5FC202}">
      <text>
        <r>
          <rPr>
            <sz val="9"/>
            <color indexed="81"/>
            <rFont val="Tahoma"/>
            <family val="2"/>
          </rPr>
          <t>Cons. Adj. EBITDA pre Cash Adj from Presentation</t>
        </r>
      </text>
    </comment>
    <comment ref="F16" authorId="0" shapeId="0" xr:uid="{2CE839C8-707A-4495-AFAC-123A531772C8}">
      <text>
        <r>
          <rPr>
            <sz val="9"/>
            <color indexed="81"/>
            <rFont val="Tahoma"/>
            <family val="2"/>
          </rPr>
          <t>Source: Presentation</t>
        </r>
      </text>
    </comment>
    <comment ref="G16" authorId="0" shapeId="0" xr:uid="{F5DF8BE4-861C-4085-96AA-519DAC928561}">
      <text>
        <r>
          <rPr>
            <sz val="9"/>
            <color indexed="81"/>
            <rFont val="Tahoma"/>
            <family val="2"/>
          </rPr>
          <t>Source: Presentation</t>
        </r>
      </text>
    </comment>
    <comment ref="I16" authorId="0" shapeId="0" xr:uid="{BA434E6B-111B-4E4F-A4FD-279C453A1F16}">
      <text>
        <r>
          <rPr>
            <sz val="9"/>
            <color indexed="81"/>
            <rFont val="Tahoma"/>
            <family val="2"/>
          </rPr>
          <t>Cons. Adj. EBITDA pre Cash Adj from Presentation</t>
        </r>
      </text>
    </comment>
    <comment ref="B24" authorId="0" shapeId="0" xr:uid="{B22AA85F-9B6A-47D3-A0F5-B89D572DDE66}">
      <text>
        <r>
          <rPr>
            <sz val="9"/>
            <color indexed="81"/>
            <rFont val="Tahoma"/>
            <family val="2"/>
          </rPr>
          <t>Adj. EBITDA pre cash Adj</t>
        </r>
      </text>
    </comment>
    <comment ref="C24" authorId="0" shapeId="0" xr:uid="{7A69CE95-6032-42D6-B2F5-E880611D341B}">
      <text>
        <r>
          <rPr>
            <sz val="9"/>
            <color indexed="81"/>
            <rFont val="Tahoma"/>
            <family val="2"/>
          </rPr>
          <t>Adj. EBITDA pre cash Adj</t>
        </r>
      </text>
    </comment>
    <comment ref="E24" authorId="0" shapeId="0" xr:uid="{A2F0D7DB-7BF8-4091-A618-1EC85FB51B6A}">
      <text>
        <r>
          <rPr>
            <sz val="9"/>
            <color indexed="81"/>
            <rFont val="Tahoma"/>
            <family val="2"/>
          </rPr>
          <t>Adj. EBITDA pre cash Adj</t>
        </r>
      </text>
    </comment>
    <comment ref="C25" authorId="0" shapeId="0" xr:uid="{5B440DFD-1AE9-4629-BED4-0A30798B18CC}">
      <text>
        <r>
          <rPr>
            <sz val="9"/>
            <color indexed="81"/>
            <rFont val="Tahoma"/>
            <family val="2"/>
          </rPr>
          <t>Cash Adjustment</t>
        </r>
      </text>
    </comment>
    <comment ref="E25" authorId="0" shapeId="0" xr:uid="{3772E30D-4B5E-4C7E-86C5-4CB4E6D826D5}">
      <text>
        <r>
          <rPr>
            <sz val="9"/>
            <color indexed="81"/>
            <rFont val="Tahoma"/>
            <family val="2"/>
          </rPr>
          <t>Cash Adjustment</t>
        </r>
      </text>
    </comment>
    <comment ref="G25" authorId="0" shapeId="0" xr:uid="{00000000-0006-0000-2B00-000001000000}">
      <text>
        <r>
          <rPr>
            <sz val="9"/>
            <color indexed="81"/>
            <rFont val="Tahoma"/>
            <family val="2"/>
          </rPr>
          <t>LTM Cash Adjusted EBITDA</t>
        </r>
      </text>
    </comment>
    <comment ref="L25" authorId="0" shapeId="0" xr:uid="{00000000-0006-0000-2B00-000002000000}">
      <text>
        <r>
          <rPr>
            <sz val="8"/>
            <color indexed="81"/>
            <rFont val="Tahoma"/>
            <family val="2"/>
          </rPr>
          <t>Cost Synergies from Envision Acquisiton</t>
        </r>
      </text>
    </comment>
    <comment ref="G26" authorId="0" shapeId="0" xr:uid="{00000000-0006-0000-2B00-000003000000}">
      <text>
        <r>
          <rPr>
            <sz val="9"/>
            <color indexed="81"/>
            <rFont val="Tahoma"/>
            <family val="2"/>
          </rPr>
          <t>PF impact assumed to be the same</t>
        </r>
      </text>
    </comment>
    <comment ref="J26" authorId="1" shapeId="0" xr:uid="{00000000-0006-0000-2B00-000004000000}">
      <text>
        <r>
          <rPr>
            <sz val="8"/>
            <color indexed="81"/>
            <rFont val="Tahoma"/>
            <family val="2"/>
          </rPr>
          <t>HC (Messy Financials)</t>
        </r>
      </text>
    </comment>
    <comment ref="K26" authorId="1" shapeId="0" xr:uid="{00000000-0006-0000-2B00-000005000000}">
      <text>
        <r>
          <rPr>
            <sz val="8"/>
            <color indexed="81"/>
            <rFont val="Tahoma"/>
            <family val="2"/>
          </rPr>
          <t>HC (Messy Financials)</t>
        </r>
      </text>
    </comment>
    <comment ref="L26" authorId="0" shapeId="0" xr:uid="{00000000-0006-0000-2B00-000006000000}">
      <text>
        <r>
          <rPr>
            <sz val="8"/>
            <color indexed="81"/>
            <rFont val="Tahoma"/>
            <family val="2"/>
          </rPr>
          <t>+$5.868 EBITDA contribution from Envision</t>
        </r>
      </text>
    </comment>
    <comment ref="L39" authorId="0" shapeId="0" xr:uid="{00000000-0006-0000-2B00-000007000000}">
      <text>
        <r>
          <rPr>
            <sz val="8"/>
            <color indexed="81"/>
            <rFont val="Tahoma"/>
            <family val="2"/>
          </rPr>
          <t>Pro Forma</t>
        </r>
      </text>
    </comment>
    <comment ref="G40" authorId="0" shapeId="0" xr:uid="{00000000-0006-0000-2B00-000008000000}">
      <text>
        <r>
          <rPr>
            <sz val="8"/>
            <color indexed="81"/>
            <rFont val="Tahoma"/>
            <family val="2"/>
          </rPr>
          <t>PF October</t>
        </r>
      </text>
    </comment>
    <comment ref="H40" authorId="0" shapeId="0" xr:uid="{00000000-0006-0000-2B00-000009000000}">
      <text>
        <r>
          <rPr>
            <sz val="8"/>
            <color indexed="81"/>
            <rFont val="Tahoma"/>
            <family val="2"/>
          </rPr>
          <t>PF October</t>
        </r>
      </text>
    </comment>
    <comment ref="L40" authorId="0" shapeId="0" xr:uid="{00000000-0006-0000-2B00-00000A000000}">
      <text>
        <r>
          <rPr>
            <sz val="8"/>
            <color indexed="81"/>
            <rFont val="Tahoma"/>
            <family val="2"/>
          </rPr>
          <t>Pro Forma</t>
        </r>
      </text>
    </comment>
    <comment ref="G41" authorId="0" shapeId="0" xr:uid="{00000000-0006-0000-2B00-00000B000000}">
      <text>
        <r>
          <rPr>
            <sz val="8"/>
            <color indexed="81"/>
            <rFont val="Tahoma"/>
            <family val="2"/>
          </rPr>
          <t>PF October</t>
        </r>
      </text>
    </comment>
    <comment ref="H41" authorId="0" shapeId="0" xr:uid="{00000000-0006-0000-2B00-00000C000000}">
      <text>
        <r>
          <rPr>
            <sz val="8"/>
            <color indexed="81"/>
            <rFont val="Tahoma"/>
            <family val="2"/>
          </rPr>
          <t>PF October</t>
        </r>
      </text>
    </comment>
    <comment ref="L41" authorId="0" shapeId="0" xr:uid="{00000000-0006-0000-2B00-00000D000000}">
      <text>
        <r>
          <rPr>
            <sz val="8"/>
            <color indexed="81"/>
            <rFont val="Tahoma"/>
            <family val="2"/>
          </rPr>
          <t>Pro Forma</t>
        </r>
      </text>
    </comment>
    <comment ref="L42" authorId="0" shapeId="0" xr:uid="{00000000-0006-0000-2B00-00000E000000}">
      <text>
        <r>
          <rPr>
            <sz val="8"/>
            <color indexed="81"/>
            <rFont val="Tahoma"/>
            <family val="2"/>
          </rPr>
          <t>Pro Forma</t>
        </r>
      </text>
    </comment>
    <comment ref="G44" authorId="0" shapeId="0" xr:uid="{00000000-0006-0000-2B00-00000F000000}">
      <text>
        <r>
          <rPr>
            <sz val="8"/>
            <color indexed="81"/>
            <rFont val="Tahoma"/>
            <family val="2"/>
          </rPr>
          <t>PF October</t>
        </r>
      </text>
    </comment>
    <comment ref="H44" authorId="0" shapeId="0" xr:uid="{00000000-0006-0000-2B00-000010000000}">
      <text>
        <r>
          <rPr>
            <sz val="8"/>
            <color indexed="81"/>
            <rFont val="Tahoma"/>
            <family val="2"/>
          </rPr>
          <t>PF October</t>
        </r>
      </text>
    </comment>
    <comment ref="L44" authorId="0" shapeId="0" xr:uid="{00000000-0006-0000-2B00-000011000000}">
      <text>
        <r>
          <rPr>
            <sz val="8"/>
            <color indexed="81"/>
            <rFont val="Tahoma"/>
            <family val="2"/>
          </rPr>
          <t>Pro Forma</t>
        </r>
      </text>
    </comment>
    <comment ref="D46" authorId="0" shapeId="0" xr:uid="{5895ACF2-41D6-450F-9FD8-B7DE3295087E}">
      <text>
        <r>
          <rPr>
            <sz val="9"/>
            <color indexed="81"/>
            <rFont val="Tahoma"/>
            <family val="2"/>
          </rPr>
          <t>Pro Forma</t>
        </r>
      </text>
    </comment>
    <comment ref="E46" authorId="0" shapeId="0" xr:uid="{5979D41B-CDE1-4F1C-BA72-45B571B72B97}">
      <text>
        <r>
          <rPr>
            <sz val="8"/>
            <color indexed="81"/>
            <rFont val="Tahoma"/>
            <family val="2"/>
          </rPr>
          <t>Includes $108.0mm from acquistion from October 19 LP and Organic 3Q20 and 3Q19 numbers adjusted from 3Q20 presentation</t>
        </r>
      </text>
    </comment>
    <comment ref="F46" authorId="0" shapeId="0" xr:uid="{00000000-0006-0000-2B00-000012000000}">
      <text>
        <r>
          <rPr>
            <sz val="8"/>
            <color indexed="81"/>
            <rFont val="Tahoma"/>
            <family val="2"/>
          </rPr>
          <t>Includes $108.0mm from acquistion from October 19 LP and Organic 2Q20 and 2Q19 numbers adjusted from 2Q20 presentation</t>
        </r>
      </text>
    </comment>
    <comment ref="G46" authorId="0" shapeId="0" xr:uid="{00000000-0006-0000-2B00-000013000000}">
      <text>
        <r>
          <rPr>
            <sz val="8"/>
            <color indexed="81"/>
            <rFont val="Tahoma"/>
            <family val="2"/>
          </rPr>
          <t>Includes $108.0mm from acquistion from October 19 LP and Organic 1Q20 and 1Q19 numbers adjusted from 1Q20 presentation</t>
        </r>
      </text>
    </comment>
    <comment ref="H46" authorId="0" shapeId="0" xr:uid="{00000000-0006-0000-2B00-000014000000}">
      <text>
        <r>
          <rPr>
            <sz val="8"/>
            <color indexed="81"/>
            <rFont val="Tahoma"/>
            <family val="2"/>
          </rPr>
          <t>Includes $108.0mm from acquistion from October 19 LP</t>
        </r>
      </text>
    </comment>
    <comment ref="G47" authorId="0" shapeId="0" xr:uid="{00000000-0006-0000-2B00-000015000000}">
      <text>
        <r>
          <rPr>
            <sz val="8"/>
            <color indexed="81"/>
            <rFont val="Tahoma"/>
            <family val="2"/>
          </rPr>
          <t>PF October</t>
        </r>
      </text>
    </comment>
    <comment ref="H47" authorId="0" shapeId="0" xr:uid="{00000000-0006-0000-2B00-000016000000}">
      <text>
        <r>
          <rPr>
            <sz val="8"/>
            <color indexed="81"/>
            <rFont val="Tahoma"/>
            <family val="2"/>
          </rPr>
          <t>PF October</t>
        </r>
      </text>
    </comment>
    <comment ref="L47" authorId="0" shapeId="0" xr:uid="{00000000-0006-0000-2B00-000017000000}">
      <text>
        <r>
          <rPr>
            <sz val="8"/>
            <color indexed="81"/>
            <rFont val="Tahoma"/>
            <family val="2"/>
          </rPr>
          <t>Pro Forma</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6" authorId="0" shapeId="0" xr:uid="{00000000-0006-0000-2C00-000001000000}">
      <text>
        <r>
          <rPr>
            <sz val="8"/>
            <color indexed="81"/>
            <rFont val="Tahoma"/>
            <family val="2"/>
          </rPr>
          <t>Core Operating Profit
+ Depreciation and Amortization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P12" authorId="0" shapeId="0" xr:uid="{00000000-0006-0000-0500-000001000000}">
      <text>
        <r>
          <rPr>
            <sz val="8"/>
            <color indexed="81"/>
            <rFont val="Tahoma"/>
            <family val="2"/>
          </rPr>
          <t>Source: Q4 Presentation</t>
        </r>
      </text>
    </comment>
    <comment ref="Q12" authorId="0" shapeId="0" xr:uid="{00000000-0006-0000-0500-000002000000}">
      <text>
        <r>
          <rPr>
            <sz val="8"/>
            <color indexed="81"/>
            <rFont val="Tahoma"/>
            <family val="2"/>
          </rPr>
          <t>Source: Q4 Presentation</t>
        </r>
      </text>
    </comment>
    <comment ref="R12" authorId="0" shapeId="0" xr:uid="{00000000-0006-0000-0500-000003000000}">
      <text>
        <r>
          <rPr>
            <sz val="8"/>
            <color indexed="81"/>
            <rFont val="Tahoma"/>
            <family val="2"/>
          </rPr>
          <t>Source: Q4 Presentation</t>
        </r>
      </text>
    </comment>
    <comment ref="S12" authorId="0" shapeId="0" xr:uid="{00000000-0006-0000-0500-000004000000}">
      <text>
        <r>
          <rPr>
            <sz val="8"/>
            <color indexed="81"/>
            <rFont val="Tahoma"/>
            <family val="2"/>
          </rPr>
          <t>Source: Q4 Presentation</t>
        </r>
      </text>
    </comment>
    <comment ref="T12" authorId="0" shapeId="0" xr:uid="{00000000-0006-0000-0500-000005000000}">
      <text>
        <r>
          <rPr>
            <sz val="8"/>
            <color indexed="81"/>
            <rFont val="Tahoma"/>
            <family val="2"/>
          </rPr>
          <t>Source: Q4 Presentation</t>
        </r>
      </text>
    </comment>
    <comment ref="U12" authorId="0" shapeId="0" xr:uid="{00000000-0006-0000-0500-000006000000}">
      <text>
        <r>
          <rPr>
            <sz val="8"/>
            <color indexed="81"/>
            <rFont val="Tahoma"/>
            <family val="2"/>
          </rPr>
          <t>Source: Q4 Presentation</t>
        </r>
      </text>
    </comment>
    <comment ref="V12" authorId="0" shapeId="0" xr:uid="{00000000-0006-0000-0500-000007000000}">
      <text>
        <r>
          <rPr>
            <sz val="8"/>
            <color indexed="81"/>
            <rFont val="Tahoma"/>
            <family val="2"/>
          </rPr>
          <t>Source: Q4 Presentation</t>
        </r>
      </text>
    </comment>
    <comment ref="W12" authorId="0" shapeId="0" xr:uid="{00000000-0006-0000-0500-000008000000}">
      <text>
        <r>
          <rPr>
            <sz val="8"/>
            <color indexed="81"/>
            <rFont val="Tahoma"/>
            <family val="2"/>
          </rPr>
          <t>Source: Q4 Presentation</t>
        </r>
      </text>
    </comment>
    <comment ref="P16" authorId="0" shapeId="0" xr:uid="{00000000-0006-0000-0500-000009000000}">
      <text>
        <r>
          <rPr>
            <sz val="8"/>
            <color indexed="81"/>
            <rFont val="Tahoma"/>
            <family val="2"/>
          </rPr>
          <t>Source: Q4 Presentation</t>
        </r>
      </text>
    </comment>
    <comment ref="Q16" authorId="0" shapeId="0" xr:uid="{00000000-0006-0000-0500-00000A000000}">
      <text>
        <r>
          <rPr>
            <sz val="8"/>
            <color indexed="81"/>
            <rFont val="Tahoma"/>
            <family val="2"/>
          </rPr>
          <t>Source: Q4 Presentation</t>
        </r>
      </text>
    </comment>
    <comment ref="R16" authorId="0" shapeId="0" xr:uid="{00000000-0006-0000-0500-00000B000000}">
      <text>
        <r>
          <rPr>
            <sz val="8"/>
            <color indexed="81"/>
            <rFont val="Tahoma"/>
            <family val="2"/>
          </rPr>
          <t>Source: Q4 Presentation</t>
        </r>
      </text>
    </comment>
    <comment ref="S16" authorId="0" shapeId="0" xr:uid="{00000000-0006-0000-0500-00000C000000}">
      <text>
        <r>
          <rPr>
            <sz val="8"/>
            <color indexed="81"/>
            <rFont val="Tahoma"/>
            <family val="2"/>
          </rPr>
          <t>Source: Q4 Presentation</t>
        </r>
      </text>
    </comment>
    <comment ref="T16" authorId="0" shapeId="0" xr:uid="{00000000-0006-0000-0500-00000D000000}">
      <text>
        <r>
          <rPr>
            <sz val="8"/>
            <color indexed="81"/>
            <rFont val="Tahoma"/>
            <family val="2"/>
          </rPr>
          <t>Source: Q4 Presentation</t>
        </r>
      </text>
    </comment>
    <comment ref="U16" authorId="0" shapeId="0" xr:uid="{00000000-0006-0000-0500-00000E000000}">
      <text>
        <r>
          <rPr>
            <sz val="8"/>
            <color indexed="81"/>
            <rFont val="Tahoma"/>
            <family val="2"/>
          </rPr>
          <t>Source: Q4 Presentation</t>
        </r>
      </text>
    </comment>
    <comment ref="V16" authorId="0" shapeId="0" xr:uid="{00000000-0006-0000-0500-00000F000000}">
      <text>
        <r>
          <rPr>
            <sz val="8"/>
            <color indexed="81"/>
            <rFont val="Tahoma"/>
            <family val="2"/>
          </rPr>
          <t>Source: Q4 Presentation</t>
        </r>
      </text>
    </comment>
    <comment ref="W16" authorId="0" shapeId="0" xr:uid="{00000000-0006-0000-0500-000010000000}">
      <text>
        <r>
          <rPr>
            <sz val="8"/>
            <color indexed="81"/>
            <rFont val="Tahoma"/>
            <family val="2"/>
          </rPr>
          <t>Source: Q4 Presentation</t>
        </r>
      </text>
    </comment>
    <comment ref="G25" authorId="0" shapeId="0" xr:uid="{53E44835-907D-4F5F-AF4C-1B8E9BC230EC}">
      <text>
        <r>
          <rPr>
            <sz val="8"/>
            <color indexed="81"/>
            <rFont val="Tahoma"/>
            <family val="2"/>
          </rPr>
          <t>Synergy</t>
        </r>
      </text>
    </comment>
    <comment ref="H25" authorId="0" shapeId="0" xr:uid="{00000000-0006-0000-0500-000011000000}">
      <text>
        <r>
          <rPr>
            <sz val="8"/>
            <color indexed="81"/>
            <rFont val="Tahoma"/>
            <family val="2"/>
          </rPr>
          <t>Synergy</t>
        </r>
      </text>
    </comment>
    <comment ref="I25" authorId="0" shapeId="0" xr:uid="{00000000-0006-0000-0500-000012000000}">
      <text>
        <r>
          <rPr>
            <sz val="8"/>
            <color indexed="81"/>
            <rFont val="Tahoma"/>
            <family val="2"/>
          </rPr>
          <t>Synergy</t>
        </r>
      </text>
    </comment>
    <comment ref="J25" authorId="0" shapeId="0" xr:uid="{00000000-0006-0000-0500-000013000000}">
      <text>
        <r>
          <rPr>
            <sz val="8"/>
            <color indexed="81"/>
            <rFont val="Tahoma"/>
            <family val="2"/>
          </rPr>
          <t>Synergy</t>
        </r>
      </text>
    </comment>
    <comment ref="K25" authorId="0" shapeId="0" xr:uid="{00000000-0006-0000-0500-000014000000}">
      <text>
        <r>
          <rPr>
            <sz val="8"/>
            <color indexed="81"/>
            <rFont val="Tahoma"/>
            <family val="2"/>
          </rPr>
          <t>Synergy</t>
        </r>
      </text>
    </comment>
    <comment ref="L25" authorId="0" shapeId="0" xr:uid="{00000000-0006-0000-0500-000015000000}">
      <text>
        <r>
          <rPr>
            <sz val="8"/>
            <color indexed="81"/>
            <rFont val="Tahoma"/>
            <family val="2"/>
          </rPr>
          <t>Synergy</t>
        </r>
      </text>
    </comment>
    <comment ref="M25" authorId="0" shapeId="0" xr:uid="{00000000-0006-0000-0500-000016000000}">
      <text>
        <r>
          <rPr>
            <sz val="8"/>
            <color indexed="81"/>
            <rFont val="Tahoma"/>
            <family val="2"/>
          </rPr>
          <t>Synergy</t>
        </r>
      </text>
    </comment>
    <comment ref="L39" authorId="0" shapeId="0" xr:uid="{00000000-0006-0000-0500-000017000000}">
      <text>
        <r>
          <rPr>
            <sz val="8"/>
            <color indexed="81"/>
            <rFont val="Tahoma"/>
            <family val="2"/>
          </rPr>
          <t>Pro Forma</t>
        </r>
      </text>
    </comment>
    <comment ref="M39" authorId="0" shapeId="0" xr:uid="{00000000-0006-0000-0500-000018000000}">
      <text>
        <r>
          <rPr>
            <sz val="8"/>
            <color indexed="81"/>
            <rFont val="Tahoma"/>
            <family val="2"/>
          </rPr>
          <t>Pro Forma</t>
        </r>
      </text>
    </comment>
    <comment ref="L40" authorId="0" shapeId="0" xr:uid="{00000000-0006-0000-0500-000019000000}">
      <text>
        <r>
          <rPr>
            <sz val="8"/>
            <color indexed="81"/>
            <rFont val="Tahoma"/>
            <family val="2"/>
          </rPr>
          <t>Pro Forma</t>
        </r>
      </text>
    </comment>
    <comment ref="M40" authorId="0" shapeId="0" xr:uid="{00000000-0006-0000-0500-00001A000000}">
      <text>
        <r>
          <rPr>
            <sz val="8"/>
            <color indexed="81"/>
            <rFont val="Tahoma"/>
            <family val="2"/>
          </rPr>
          <t>Pro Forma</t>
        </r>
      </text>
    </comment>
    <comment ref="L41" authorId="0" shapeId="0" xr:uid="{00000000-0006-0000-0500-00001B000000}">
      <text>
        <r>
          <rPr>
            <sz val="8"/>
            <color indexed="81"/>
            <rFont val="Tahoma"/>
            <family val="2"/>
          </rPr>
          <t>Pro Forma</t>
        </r>
      </text>
    </comment>
    <comment ref="M41" authorId="0" shapeId="0" xr:uid="{00000000-0006-0000-0500-00001C000000}">
      <text>
        <r>
          <rPr>
            <sz val="8"/>
            <color indexed="81"/>
            <rFont val="Tahoma"/>
            <family val="2"/>
          </rPr>
          <t>Pro Forma</t>
        </r>
      </text>
    </comment>
    <comment ref="L44" authorId="0" shapeId="0" xr:uid="{00000000-0006-0000-0500-00001D000000}">
      <text>
        <r>
          <rPr>
            <sz val="8"/>
            <color indexed="81"/>
            <rFont val="Tahoma"/>
            <family val="2"/>
          </rPr>
          <t>Pro Forma</t>
        </r>
      </text>
    </comment>
    <comment ref="M44" authorId="0" shapeId="0" xr:uid="{00000000-0006-0000-0500-00001E000000}">
      <text>
        <r>
          <rPr>
            <sz val="8"/>
            <color indexed="81"/>
            <rFont val="Tahoma"/>
            <family val="2"/>
          </rPr>
          <t>Pro Forma</t>
        </r>
      </text>
    </comment>
    <comment ref="B47" authorId="0" shapeId="0" xr:uid="{576A6E74-0C73-47D0-ACB5-99035EC4042A}">
      <text>
        <r>
          <rPr>
            <sz val="8"/>
            <color indexed="81"/>
            <rFont val="Tahoma"/>
            <family val="2"/>
          </rPr>
          <t>Pro Forma</t>
        </r>
      </text>
    </comment>
    <comment ref="C47" authorId="0" shapeId="0" xr:uid="{D33B70CE-DE37-4FE0-85B5-21619DBCDC7B}">
      <text>
        <r>
          <rPr>
            <sz val="8"/>
            <color indexed="81"/>
            <rFont val="Tahoma"/>
            <family val="2"/>
          </rPr>
          <t>Pro Forma</t>
        </r>
      </text>
    </comment>
    <comment ref="D47" authorId="0" shapeId="0" xr:uid="{1B96BB29-B7A2-410D-98CD-EAB16EE59FCB}">
      <text>
        <r>
          <rPr>
            <sz val="8"/>
            <color indexed="81"/>
            <rFont val="Tahoma"/>
            <family val="2"/>
          </rPr>
          <t>Pro Forma</t>
        </r>
      </text>
    </comment>
    <comment ref="E47" authorId="0" shapeId="0" xr:uid="{072992DC-3803-43B3-A230-CC12B2CF1ACB}">
      <text>
        <r>
          <rPr>
            <sz val="8"/>
            <color indexed="81"/>
            <rFont val="Tahoma"/>
            <family val="2"/>
          </rPr>
          <t>Pro Forma</t>
        </r>
      </text>
    </comment>
    <comment ref="F47" authorId="0" shapeId="0" xr:uid="{425EDF67-B2F3-45C1-B227-F22164E3D848}">
      <text>
        <r>
          <rPr>
            <sz val="8"/>
            <color indexed="81"/>
            <rFont val="Tahoma"/>
            <family val="2"/>
          </rPr>
          <t>Pro Forma</t>
        </r>
      </text>
    </comment>
    <comment ref="G47" authorId="0" shapeId="0" xr:uid="{AD345C39-48EE-4EDA-956E-7F4E17190642}">
      <text>
        <r>
          <rPr>
            <sz val="8"/>
            <color indexed="81"/>
            <rFont val="Tahoma"/>
            <family val="2"/>
          </rPr>
          <t>Pro Forma</t>
        </r>
      </text>
    </comment>
    <comment ref="H47" authorId="0" shapeId="0" xr:uid="{00000000-0006-0000-0500-00001F000000}">
      <text>
        <r>
          <rPr>
            <sz val="8"/>
            <color indexed="81"/>
            <rFont val="Tahoma"/>
            <family val="2"/>
          </rPr>
          <t>Pro Forma</t>
        </r>
      </text>
    </comment>
    <comment ref="I47" authorId="0" shapeId="0" xr:uid="{00000000-0006-0000-0500-000020000000}">
      <text>
        <r>
          <rPr>
            <sz val="8"/>
            <color indexed="81"/>
            <rFont val="Tahoma"/>
            <family val="2"/>
          </rPr>
          <t>Pro Forma</t>
        </r>
      </text>
    </comment>
    <comment ref="J47" authorId="0" shapeId="0" xr:uid="{00000000-0006-0000-0500-000021000000}">
      <text>
        <r>
          <rPr>
            <sz val="8"/>
            <color indexed="81"/>
            <rFont val="Tahoma"/>
            <family val="2"/>
          </rPr>
          <t>Pro Forma</t>
        </r>
      </text>
    </comment>
    <comment ref="K47" authorId="0" shapeId="0" xr:uid="{00000000-0006-0000-0500-000022000000}">
      <text>
        <r>
          <rPr>
            <sz val="8"/>
            <color indexed="81"/>
            <rFont val="Tahoma"/>
            <family val="2"/>
          </rPr>
          <t>Pro Forma</t>
        </r>
      </text>
    </comment>
    <comment ref="L47" authorId="0" shapeId="0" xr:uid="{00000000-0006-0000-0500-000023000000}">
      <text>
        <r>
          <rPr>
            <sz val="8"/>
            <color indexed="81"/>
            <rFont val="Tahoma"/>
            <family val="2"/>
          </rPr>
          <t>Pro Forma</t>
        </r>
      </text>
    </comment>
    <comment ref="M47" authorId="0" shapeId="0" xr:uid="{00000000-0006-0000-0500-000024000000}">
      <text>
        <r>
          <rPr>
            <sz val="8"/>
            <color indexed="81"/>
            <rFont val="Tahoma"/>
            <family val="2"/>
          </rPr>
          <t>Pro Forma</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M39" authorId="0" shapeId="0" xr:uid="{00000000-0006-0000-2F00-000001000000}">
      <text>
        <r>
          <rPr>
            <sz val="8"/>
            <color indexed="81"/>
            <rFont val="Tahoma"/>
            <family val="2"/>
          </rPr>
          <t>Pro Forma</t>
        </r>
      </text>
    </comment>
    <comment ref="M40" authorId="0" shapeId="0" xr:uid="{00000000-0006-0000-2F00-000002000000}">
      <text>
        <r>
          <rPr>
            <sz val="8"/>
            <color indexed="81"/>
            <rFont val="Tahoma"/>
            <family val="2"/>
          </rPr>
          <t>Pro Forma</t>
        </r>
      </text>
    </comment>
    <comment ref="M41" authorId="0" shapeId="0" xr:uid="{00000000-0006-0000-2F00-000003000000}">
      <text>
        <r>
          <rPr>
            <sz val="8"/>
            <color indexed="81"/>
            <rFont val="Tahoma"/>
            <family val="2"/>
          </rPr>
          <t>Pro Forma</t>
        </r>
      </text>
    </comment>
    <comment ref="M42" authorId="0" shapeId="0" xr:uid="{00000000-0006-0000-2F00-000004000000}">
      <text>
        <r>
          <rPr>
            <sz val="8"/>
            <color indexed="81"/>
            <rFont val="Tahoma"/>
            <family val="2"/>
          </rPr>
          <t>Pro Forma</t>
        </r>
      </text>
    </comment>
    <comment ref="M44" authorId="0" shapeId="0" xr:uid="{00000000-0006-0000-2F00-000005000000}">
      <text>
        <r>
          <rPr>
            <sz val="8"/>
            <color indexed="81"/>
            <rFont val="Tahoma"/>
            <family val="2"/>
          </rPr>
          <t>Pro Forma</t>
        </r>
      </text>
    </comment>
    <comment ref="I46" authorId="0" shapeId="0" xr:uid="{00000000-0006-0000-2F00-000006000000}">
      <text>
        <r>
          <rPr>
            <sz val="8"/>
            <color indexed="81"/>
            <rFont val="Tahoma"/>
            <family val="2"/>
          </rPr>
          <t>Pro Forma (December Presentation)</t>
        </r>
      </text>
    </comment>
    <comment ref="J46" authorId="0" shapeId="0" xr:uid="{00000000-0006-0000-2F00-000007000000}">
      <text>
        <r>
          <rPr>
            <sz val="8"/>
            <color indexed="81"/>
            <rFont val="Tahoma"/>
            <family val="2"/>
          </rPr>
          <t>Pro Forma (2Q Annualized)</t>
        </r>
      </text>
    </comment>
    <comment ref="K46" authorId="0" shapeId="0" xr:uid="{00000000-0006-0000-2F00-000008000000}">
      <text>
        <r>
          <rPr>
            <sz val="8"/>
            <color indexed="81"/>
            <rFont val="Tahoma"/>
            <family val="2"/>
          </rPr>
          <t>Pro Forma (1Q Annualized)</t>
        </r>
      </text>
    </comment>
    <comment ref="L46" authorId="0" shapeId="0" xr:uid="{00000000-0006-0000-2F00-000009000000}">
      <text>
        <r>
          <rPr>
            <sz val="8"/>
            <color indexed="81"/>
            <rFont val="Tahoma"/>
            <family val="2"/>
          </rPr>
          <t>Pro Forma</t>
        </r>
      </text>
    </comment>
    <comment ref="M46" authorId="0" shapeId="0" xr:uid="{00000000-0006-0000-2F00-00000A000000}">
      <text>
        <r>
          <rPr>
            <sz val="8"/>
            <color indexed="81"/>
            <rFont val="Tahoma"/>
            <family val="2"/>
          </rPr>
          <t>Pro Forma</t>
        </r>
      </text>
    </comment>
    <comment ref="B47" authorId="0" shapeId="0" xr:uid="{E06B7D92-683D-4C61-B655-FD4108C35515}">
      <text>
        <r>
          <rPr>
            <sz val="8"/>
            <color indexed="81"/>
            <rFont val="Tahoma"/>
            <family val="2"/>
          </rPr>
          <t>Pro Forma</t>
        </r>
      </text>
    </comment>
    <comment ref="C47" authorId="0" shapeId="0" xr:uid="{D528EB3C-629D-474E-B146-5D337F38602B}">
      <text>
        <r>
          <rPr>
            <sz val="8"/>
            <color indexed="81"/>
            <rFont val="Tahoma"/>
            <family val="2"/>
          </rPr>
          <t>Pro Forma</t>
        </r>
      </text>
    </comment>
    <comment ref="D47" authorId="0" shapeId="0" xr:uid="{F0E3BB8D-3CDE-4AD9-A690-8DD28E5CDD37}">
      <text>
        <r>
          <rPr>
            <sz val="8"/>
            <color indexed="81"/>
            <rFont val="Tahoma"/>
            <family val="2"/>
          </rPr>
          <t>Pro Forma</t>
        </r>
      </text>
    </comment>
    <comment ref="E47" authorId="0" shapeId="0" xr:uid="{B3F9AE84-6121-40D3-BA68-6CB00A0FE2E8}">
      <text>
        <r>
          <rPr>
            <sz val="8"/>
            <color indexed="81"/>
            <rFont val="Tahoma"/>
            <family val="2"/>
          </rPr>
          <t>Pro Forma</t>
        </r>
      </text>
    </comment>
    <comment ref="F47" authorId="0" shapeId="0" xr:uid="{CB1FDE10-C44A-4213-849F-B7989736C8C6}">
      <text>
        <r>
          <rPr>
            <sz val="8"/>
            <color indexed="81"/>
            <rFont val="Tahoma"/>
            <family val="2"/>
          </rPr>
          <t>Pro Forma</t>
        </r>
      </text>
    </comment>
    <comment ref="G47" authorId="0" shapeId="0" xr:uid="{CCC21C07-7E93-4B87-8E0F-B2B3A851DB7B}">
      <text>
        <r>
          <rPr>
            <sz val="8"/>
            <color indexed="81"/>
            <rFont val="Tahoma"/>
            <family val="2"/>
          </rPr>
          <t>Pro Forma</t>
        </r>
      </text>
    </comment>
    <comment ref="H47" authorId="0" shapeId="0" xr:uid="{00000000-0006-0000-2F00-00000B000000}">
      <text>
        <r>
          <rPr>
            <sz val="8"/>
            <color indexed="81"/>
            <rFont val="Tahoma"/>
            <family val="2"/>
          </rPr>
          <t>Pro Forma</t>
        </r>
      </text>
    </comment>
    <comment ref="I47" authorId="0" shapeId="0" xr:uid="{00000000-0006-0000-2F00-00000C000000}">
      <text>
        <r>
          <rPr>
            <sz val="8"/>
            <color indexed="81"/>
            <rFont val="Tahoma"/>
            <family val="2"/>
          </rPr>
          <t>Pro Forma</t>
        </r>
      </text>
    </comment>
    <comment ref="J47" authorId="0" shapeId="0" xr:uid="{00000000-0006-0000-2F00-00000D000000}">
      <text>
        <r>
          <rPr>
            <sz val="8"/>
            <color indexed="81"/>
            <rFont val="Tahoma"/>
            <family val="2"/>
          </rPr>
          <t>Pro Forma</t>
        </r>
      </text>
    </comment>
    <comment ref="K47" authorId="0" shapeId="0" xr:uid="{00000000-0006-0000-2F00-00000E000000}">
      <text>
        <r>
          <rPr>
            <sz val="8"/>
            <color indexed="81"/>
            <rFont val="Tahoma"/>
            <family val="2"/>
          </rPr>
          <t>Pro Forma</t>
        </r>
      </text>
    </comment>
    <comment ref="L47" authorId="0" shapeId="0" xr:uid="{00000000-0006-0000-2F00-00000F000000}">
      <text>
        <r>
          <rPr>
            <sz val="8"/>
            <color indexed="81"/>
            <rFont val="Tahoma"/>
            <family val="2"/>
          </rPr>
          <t>Pro Forma</t>
        </r>
      </text>
    </comment>
    <comment ref="M47" authorId="0" shapeId="0" xr:uid="{00000000-0006-0000-2F00-000010000000}">
      <text>
        <r>
          <rPr>
            <sz val="8"/>
            <color indexed="81"/>
            <rFont val="Tahoma"/>
            <family val="2"/>
          </rPr>
          <t>Pro Forma</t>
        </r>
      </text>
    </comment>
    <comment ref="M48" authorId="0" shapeId="0" xr:uid="{00000000-0006-0000-2F00-000011000000}">
      <text>
        <r>
          <rPr>
            <sz val="8"/>
            <color indexed="81"/>
            <rFont val="Tahoma"/>
            <family val="2"/>
          </rPr>
          <t>Pro Forma</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M39" authorId="0" shapeId="0" xr:uid="{00000000-0006-0000-3000-000001000000}">
      <text>
        <r>
          <rPr>
            <sz val="8"/>
            <color indexed="81"/>
            <rFont val="Tahoma"/>
            <family val="2"/>
          </rPr>
          <t>Pro Forma</t>
        </r>
      </text>
    </comment>
    <comment ref="M40" authorId="0" shapeId="0" xr:uid="{00000000-0006-0000-3000-000002000000}">
      <text>
        <r>
          <rPr>
            <sz val="8"/>
            <color indexed="81"/>
            <rFont val="Tahoma"/>
            <family val="2"/>
          </rPr>
          <t>Pro Forma</t>
        </r>
      </text>
    </comment>
    <comment ref="M41" authorId="0" shapeId="0" xr:uid="{00000000-0006-0000-3000-000003000000}">
      <text>
        <r>
          <rPr>
            <sz val="8"/>
            <color indexed="81"/>
            <rFont val="Tahoma"/>
            <family val="2"/>
          </rPr>
          <t>Pro Forma</t>
        </r>
      </text>
    </comment>
    <comment ref="M42" authorId="0" shapeId="0" xr:uid="{00000000-0006-0000-3000-000004000000}">
      <text>
        <r>
          <rPr>
            <sz val="8"/>
            <color indexed="81"/>
            <rFont val="Tahoma"/>
            <family val="2"/>
          </rPr>
          <t>Pro Forma</t>
        </r>
      </text>
    </comment>
    <comment ref="M44" authorId="0" shapeId="0" xr:uid="{00000000-0006-0000-3000-000005000000}">
      <text>
        <r>
          <rPr>
            <sz val="8"/>
            <color indexed="81"/>
            <rFont val="Tahoma"/>
            <family val="2"/>
          </rPr>
          <t>Pro Forma</t>
        </r>
      </text>
    </comment>
    <comment ref="M46" authorId="0" shapeId="0" xr:uid="{00000000-0006-0000-3000-000006000000}">
      <text>
        <r>
          <rPr>
            <sz val="8"/>
            <color indexed="81"/>
            <rFont val="Tahoma"/>
            <family val="2"/>
          </rPr>
          <t>Pro Forma</t>
        </r>
      </text>
    </comment>
    <comment ref="M47" authorId="0" shapeId="0" xr:uid="{00000000-0006-0000-3000-000007000000}">
      <text>
        <r>
          <rPr>
            <sz val="8"/>
            <color indexed="81"/>
            <rFont val="Tahoma"/>
            <family val="2"/>
          </rPr>
          <t>Pro Forma</t>
        </r>
      </text>
    </comment>
    <comment ref="J48" authorId="0" shapeId="0" xr:uid="{00000000-0006-0000-3000-000008000000}">
      <text>
        <r>
          <rPr>
            <sz val="8"/>
            <color indexed="81"/>
            <rFont val="Tahoma"/>
            <family val="2"/>
          </rPr>
          <t>Calculated</t>
        </r>
      </text>
    </comment>
    <comment ref="K48" authorId="0" shapeId="0" xr:uid="{00000000-0006-0000-3000-000009000000}">
      <text>
        <r>
          <rPr>
            <sz val="8"/>
            <color indexed="81"/>
            <rFont val="Tahoma"/>
            <family val="2"/>
          </rPr>
          <t>Calculated</t>
        </r>
      </text>
    </comment>
    <comment ref="L48" authorId="0" shapeId="0" xr:uid="{00000000-0006-0000-3000-00000A000000}">
      <text>
        <r>
          <rPr>
            <sz val="8"/>
            <color indexed="81"/>
            <rFont val="Tahoma"/>
            <family val="2"/>
          </rPr>
          <t>Calculated</t>
        </r>
      </text>
    </comment>
    <comment ref="M48" authorId="0" shapeId="0" xr:uid="{00000000-0006-0000-3000-00000B000000}">
      <text>
        <r>
          <rPr>
            <sz val="8"/>
            <color indexed="81"/>
            <rFont val="Tahoma"/>
            <family val="2"/>
          </rPr>
          <t>Pro Forma
Source: York Model</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F12" authorId="0" shapeId="0" xr:uid="{125532C7-ED1C-45DB-B64E-65F47A1EB8C1}">
      <text>
        <r>
          <rPr>
            <sz val="9"/>
            <color indexed="81"/>
            <rFont val="Tahoma"/>
            <family val="2"/>
          </rPr>
          <t>PF</t>
        </r>
      </text>
    </comment>
    <comment ref="G12" authorId="0" shapeId="0" xr:uid="{00000000-0006-0000-3100-000001000000}">
      <text>
        <r>
          <rPr>
            <sz val="9"/>
            <color indexed="81"/>
            <rFont val="Tahoma"/>
            <family val="2"/>
          </rPr>
          <t>PF</t>
        </r>
      </text>
    </comment>
    <comment ref="F25" authorId="0" shapeId="0" xr:uid="{0DF2E2FB-C80D-4EA8-9A12-DCA948AEB5E6}">
      <text>
        <r>
          <rPr>
            <sz val="9"/>
            <color indexed="81"/>
            <rFont val="Tahoma"/>
            <family val="2"/>
          </rPr>
          <t>Assumed to be the same</t>
        </r>
      </text>
    </comment>
    <comment ref="E39" authorId="0" shapeId="0" xr:uid="{7573E12C-79F7-424D-A619-7AF7DBD219FB}">
      <text>
        <r>
          <rPr>
            <sz val="9"/>
            <color indexed="81"/>
            <rFont val="Tahoma"/>
            <family val="2"/>
          </rPr>
          <t>PF from LP</t>
        </r>
      </text>
    </comment>
    <comment ref="G39" authorId="0" shapeId="0" xr:uid="{00000000-0006-0000-3100-000003000000}">
      <text>
        <r>
          <rPr>
            <sz val="9"/>
            <color indexed="81"/>
            <rFont val="Tahoma"/>
            <family val="2"/>
          </rPr>
          <t>PF</t>
        </r>
      </text>
    </comment>
    <comment ref="H39" authorId="0" shapeId="0" xr:uid="{00000000-0006-0000-3100-000004000000}">
      <text>
        <r>
          <rPr>
            <sz val="9"/>
            <color indexed="81"/>
            <rFont val="Tahoma"/>
            <family val="2"/>
          </rPr>
          <t>PF</t>
        </r>
      </text>
    </comment>
    <comment ref="K39" authorId="0" shapeId="0" xr:uid="{00000000-0006-0000-3100-000005000000}">
      <text>
        <r>
          <rPr>
            <sz val="8"/>
            <color indexed="81"/>
            <rFont val="Tahoma"/>
            <family val="2"/>
          </rPr>
          <t>PF</t>
        </r>
      </text>
    </comment>
    <comment ref="E40" authorId="0" shapeId="0" xr:uid="{9918E250-8FAB-4633-9EF0-779961C704A4}">
      <text>
        <r>
          <rPr>
            <sz val="9"/>
            <color indexed="81"/>
            <rFont val="Tahoma"/>
            <family val="2"/>
          </rPr>
          <t>PF from LP</t>
        </r>
      </text>
    </comment>
    <comment ref="G40" authorId="0" shapeId="0" xr:uid="{00000000-0006-0000-3100-000006000000}">
      <text>
        <r>
          <rPr>
            <sz val="9"/>
            <color indexed="81"/>
            <rFont val="Tahoma"/>
            <family val="2"/>
          </rPr>
          <t>PF</t>
        </r>
      </text>
    </comment>
    <comment ref="H40" authorId="0" shapeId="0" xr:uid="{00000000-0006-0000-3100-000007000000}">
      <text>
        <r>
          <rPr>
            <sz val="9"/>
            <color indexed="81"/>
            <rFont val="Tahoma"/>
            <family val="2"/>
          </rPr>
          <t>PF</t>
        </r>
      </text>
    </comment>
    <comment ref="K40" authorId="0" shapeId="0" xr:uid="{00000000-0006-0000-3100-000008000000}">
      <text>
        <r>
          <rPr>
            <sz val="8"/>
            <color indexed="81"/>
            <rFont val="Tahoma"/>
            <family val="2"/>
          </rPr>
          <t>PF</t>
        </r>
      </text>
    </comment>
    <comment ref="E41" authorId="0" shapeId="0" xr:uid="{9363AC49-F05A-4BF5-8658-4CD48E599A98}">
      <text>
        <r>
          <rPr>
            <sz val="9"/>
            <color indexed="81"/>
            <rFont val="Tahoma"/>
            <family val="2"/>
          </rPr>
          <t>PF from LP</t>
        </r>
      </text>
    </comment>
    <comment ref="G41" authorId="0" shapeId="0" xr:uid="{00000000-0006-0000-3100-000009000000}">
      <text>
        <r>
          <rPr>
            <sz val="9"/>
            <color indexed="81"/>
            <rFont val="Tahoma"/>
            <family val="2"/>
          </rPr>
          <t>PF</t>
        </r>
      </text>
    </comment>
    <comment ref="H41" authorId="0" shapeId="0" xr:uid="{00000000-0006-0000-3100-00000A000000}">
      <text>
        <r>
          <rPr>
            <sz val="9"/>
            <color indexed="81"/>
            <rFont val="Tahoma"/>
            <family val="2"/>
          </rPr>
          <t>PF</t>
        </r>
      </text>
    </comment>
    <comment ref="K41" authorId="0" shapeId="0" xr:uid="{00000000-0006-0000-3100-00000B000000}">
      <text>
        <r>
          <rPr>
            <sz val="8"/>
            <color indexed="81"/>
            <rFont val="Tahoma"/>
            <family val="2"/>
          </rPr>
          <t>PF</t>
        </r>
      </text>
    </comment>
    <comment ref="G42" authorId="0" shapeId="0" xr:uid="{00000000-0006-0000-3100-00000C000000}">
      <text>
        <r>
          <rPr>
            <sz val="9"/>
            <color indexed="81"/>
            <rFont val="Tahoma"/>
            <family val="2"/>
          </rPr>
          <t>PF</t>
        </r>
      </text>
    </comment>
    <comment ref="H42" authorId="0" shapeId="0" xr:uid="{00000000-0006-0000-3100-00000D000000}">
      <text>
        <r>
          <rPr>
            <sz val="9"/>
            <color indexed="81"/>
            <rFont val="Tahoma"/>
            <family val="2"/>
          </rPr>
          <t>PF</t>
        </r>
      </text>
    </comment>
    <comment ref="K42" authorId="0" shapeId="0" xr:uid="{00000000-0006-0000-3100-00000E000000}">
      <text>
        <r>
          <rPr>
            <sz val="8"/>
            <color indexed="81"/>
            <rFont val="Tahoma"/>
            <family val="2"/>
          </rPr>
          <t>PF</t>
        </r>
      </text>
    </comment>
    <comment ref="E44" authorId="0" shapeId="0" xr:uid="{FD7F049A-B13A-47D5-B154-22ADFA2A9D60}">
      <text>
        <r>
          <rPr>
            <sz val="9"/>
            <color indexed="81"/>
            <rFont val="Tahoma"/>
            <family val="2"/>
          </rPr>
          <t>PF from LP</t>
        </r>
      </text>
    </comment>
    <comment ref="H44" authorId="0" shapeId="0" xr:uid="{00000000-0006-0000-3100-00000F000000}">
      <text>
        <r>
          <rPr>
            <sz val="9"/>
            <color indexed="81"/>
            <rFont val="Tahoma"/>
            <family val="2"/>
          </rPr>
          <t>PF</t>
        </r>
      </text>
    </comment>
    <comment ref="K44" authorId="0" shapeId="0" xr:uid="{00000000-0006-0000-3100-000010000000}">
      <text>
        <r>
          <rPr>
            <sz val="8"/>
            <color indexed="81"/>
            <rFont val="Tahoma"/>
            <family val="2"/>
          </rPr>
          <t>PF</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G39" authorId="0" shapeId="0" xr:uid="{00000000-0006-0000-3200-000001000000}">
      <text>
        <r>
          <rPr>
            <sz val="8"/>
            <color indexed="81"/>
            <rFont val="Tahoma"/>
            <family val="2"/>
          </rPr>
          <t>PF</t>
        </r>
      </text>
    </comment>
    <comment ref="G40" authorId="0" shapeId="0" xr:uid="{00000000-0006-0000-3200-000002000000}">
      <text>
        <r>
          <rPr>
            <sz val="8"/>
            <color indexed="81"/>
            <rFont val="Tahoma"/>
            <family val="2"/>
          </rPr>
          <t>PF</t>
        </r>
      </text>
    </comment>
    <comment ref="G41" authorId="0" shapeId="0" xr:uid="{00000000-0006-0000-3200-000003000000}">
      <text>
        <r>
          <rPr>
            <sz val="8"/>
            <color indexed="81"/>
            <rFont val="Tahoma"/>
            <family val="2"/>
          </rPr>
          <t>PF</t>
        </r>
      </text>
    </comment>
    <comment ref="G42" authorId="0" shapeId="0" xr:uid="{00000000-0006-0000-3200-000004000000}">
      <text>
        <r>
          <rPr>
            <sz val="8"/>
            <color indexed="81"/>
            <rFont val="Tahoma"/>
            <family val="2"/>
          </rPr>
          <t>PF</t>
        </r>
      </text>
    </comment>
    <comment ref="G44" authorId="0" shapeId="0" xr:uid="{00000000-0006-0000-3200-000005000000}">
      <text>
        <r>
          <rPr>
            <sz val="8"/>
            <color indexed="81"/>
            <rFont val="Tahoma"/>
            <family val="2"/>
          </rPr>
          <t>PF</t>
        </r>
      </text>
    </comment>
    <comment ref="G46" authorId="0" shapeId="0" xr:uid="{00000000-0006-0000-3200-000006000000}">
      <text>
        <r>
          <rPr>
            <sz val="8"/>
            <color indexed="81"/>
            <rFont val="Tahoma"/>
            <family val="2"/>
          </rPr>
          <t>PF</t>
        </r>
      </text>
    </comment>
    <comment ref="G47" authorId="0" shapeId="0" xr:uid="{00000000-0006-0000-3200-000007000000}">
      <text>
        <r>
          <rPr>
            <sz val="8"/>
            <color indexed="81"/>
            <rFont val="Tahoma"/>
            <family val="2"/>
          </rPr>
          <t>PF</t>
        </r>
      </text>
    </comment>
    <comment ref="G48" authorId="0" shapeId="0" xr:uid="{00000000-0006-0000-3200-000008000000}">
      <text>
        <r>
          <rPr>
            <sz val="8"/>
            <color indexed="81"/>
            <rFont val="Tahoma"/>
            <family val="2"/>
          </rPr>
          <t>PF</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J39" authorId="0" shapeId="0" xr:uid="{00000000-0006-0000-3300-000001000000}">
      <text>
        <r>
          <rPr>
            <sz val="9"/>
            <color indexed="81"/>
            <rFont val="Tahoma"/>
            <family val="2"/>
          </rPr>
          <t>Pro forma</t>
        </r>
      </text>
    </comment>
    <comment ref="K39" authorId="0" shapeId="0" xr:uid="{00000000-0006-0000-3300-000002000000}">
      <text>
        <r>
          <rPr>
            <sz val="9"/>
            <color indexed="81"/>
            <rFont val="Tahoma"/>
            <family val="2"/>
          </rPr>
          <t>Pro forma</t>
        </r>
      </text>
    </comment>
    <comment ref="L39" authorId="0" shapeId="0" xr:uid="{00000000-0006-0000-3300-000003000000}">
      <text>
        <r>
          <rPr>
            <sz val="9"/>
            <color indexed="81"/>
            <rFont val="Tahoma"/>
            <family val="2"/>
          </rPr>
          <t>Pro forma</t>
        </r>
      </text>
    </comment>
    <comment ref="M39" authorId="0" shapeId="0" xr:uid="{00000000-0006-0000-3300-000004000000}">
      <text>
        <r>
          <rPr>
            <sz val="9"/>
            <color indexed="81"/>
            <rFont val="Tahoma"/>
            <family val="2"/>
          </rPr>
          <t>Pro forma</t>
        </r>
      </text>
    </comment>
    <comment ref="J40" authorId="0" shapeId="0" xr:uid="{00000000-0006-0000-3300-000005000000}">
      <text>
        <r>
          <rPr>
            <sz val="9"/>
            <color indexed="81"/>
            <rFont val="Tahoma"/>
            <family val="2"/>
          </rPr>
          <t>Pro forma</t>
        </r>
      </text>
    </comment>
    <comment ref="K40" authorId="0" shapeId="0" xr:uid="{00000000-0006-0000-3300-000006000000}">
      <text>
        <r>
          <rPr>
            <sz val="9"/>
            <color indexed="81"/>
            <rFont val="Tahoma"/>
            <family val="2"/>
          </rPr>
          <t>Pro forma</t>
        </r>
      </text>
    </comment>
    <comment ref="L40" authorId="0" shapeId="0" xr:uid="{00000000-0006-0000-3300-000007000000}">
      <text>
        <r>
          <rPr>
            <sz val="9"/>
            <color indexed="81"/>
            <rFont val="Tahoma"/>
            <family val="2"/>
          </rPr>
          <t>Pro forma</t>
        </r>
      </text>
    </comment>
    <comment ref="M40" authorId="0" shapeId="0" xr:uid="{00000000-0006-0000-3300-000008000000}">
      <text>
        <r>
          <rPr>
            <sz val="9"/>
            <color indexed="81"/>
            <rFont val="Tahoma"/>
            <family val="2"/>
          </rPr>
          <t>Pro forma</t>
        </r>
      </text>
    </comment>
    <comment ref="J41" authorId="0" shapeId="0" xr:uid="{00000000-0006-0000-3300-000009000000}">
      <text>
        <r>
          <rPr>
            <sz val="9"/>
            <color indexed="81"/>
            <rFont val="Tahoma"/>
            <family val="2"/>
          </rPr>
          <t>Pro forma</t>
        </r>
      </text>
    </comment>
    <comment ref="K41" authorId="0" shapeId="0" xr:uid="{00000000-0006-0000-3300-00000A000000}">
      <text>
        <r>
          <rPr>
            <sz val="9"/>
            <color indexed="81"/>
            <rFont val="Tahoma"/>
            <family val="2"/>
          </rPr>
          <t>Pro forma</t>
        </r>
      </text>
    </comment>
    <comment ref="L41" authorId="0" shapeId="0" xr:uid="{00000000-0006-0000-3300-00000B000000}">
      <text>
        <r>
          <rPr>
            <sz val="9"/>
            <color indexed="81"/>
            <rFont val="Tahoma"/>
            <family val="2"/>
          </rPr>
          <t>Pro forma</t>
        </r>
      </text>
    </comment>
    <comment ref="M41" authorId="0" shapeId="0" xr:uid="{00000000-0006-0000-3300-00000C000000}">
      <text>
        <r>
          <rPr>
            <sz val="9"/>
            <color indexed="81"/>
            <rFont val="Tahoma"/>
            <family val="2"/>
          </rPr>
          <t>Pro forma</t>
        </r>
      </text>
    </comment>
    <comment ref="J42" authorId="0" shapeId="0" xr:uid="{00000000-0006-0000-3300-00000D000000}">
      <text>
        <r>
          <rPr>
            <sz val="9"/>
            <color indexed="81"/>
            <rFont val="Tahoma"/>
            <family val="2"/>
          </rPr>
          <t>Pro forma</t>
        </r>
      </text>
    </comment>
    <comment ref="K42" authorId="0" shapeId="0" xr:uid="{00000000-0006-0000-3300-00000E000000}">
      <text>
        <r>
          <rPr>
            <sz val="9"/>
            <color indexed="81"/>
            <rFont val="Tahoma"/>
            <family val="2"/>
          </rPr>
          <t>Pro forma</t>
        </r>
      </text>
    </comment>
    <comment ref="L42" authorId="0" shapeId="0" xr:uid="{00000000-0006-0000-3300-00000F000000}">
      <text>
        <r>
          <rPr>
            <sz val="9"/>
            <color indexed="81"/>
            <rFont val="Tahoma"/>
            <family val="2"/>
          </rPr>
          <t>Pro forma</t>
        </r>
      </text>
    </comment>
    <comment ref="M42" authorId="0" shapeId="0" xr:uid="{00000000-0006-0000-3300-000010000000}">
      <text>
        <r>
          <rPr>
            <sz val="9"/>
            <color indexed="81"/>
            <rFont val="Tahoma"/>
            <family val="2"/>
          </rPr>
          <t>Pro forma</t>
        </r>
      </text>
    </comment>
    <comment ref="J44" authorId="0" shapeId="0" xr:uid="{00000000-0006-0000-3300-000011000000}">
      <text>
        <r>
          <rPr>
            <sz val="9"/>
            <color indexed="81"/>
            <rFont val="Tahoma"/>
            <family val="2"/>
          </rPr>
          <t>Pro forma</t>
        </r>
      </text>
    </comment>
    <comment ref="K44" authorId="0" shapeId="0" xr:uid="{00000000-0006-0000-3300-000012000000}">
      <text>
        <r>
          <rPr>
            <sz val="9"/>
            <color indexed="81"/>
            <rFont val="Tahoma"/>
            <family val="2"/>
          </rPr>
          <t>Pro forma</t>
        </r>
      </text>
    </comment>
    <comment ref="L44" authorId="0" shapeId="0" xr:uid="{00000000-0006-0000-3300-000013000000}">
      <text>
        <r>
          <rPr>
            <sz val="9"/>
            <color indexed="81"/>
            <rFont val="Tahoma"/>
            <family val="2"/>
          </rPr>
          <t>Pro forma</t>
        </r>
      </text>
    </comment>
    <comment ref="M44" authorId="0" shapeId="0" xr:uid="{00000000-0006-0000-3300-000014000000}">
      <text>
        <r>
          <rPr>
            <sz val="9"/>
            <color indexed="81"/>
            <rFont val="Tahoma"/>
            <family val="2"/>
          </rPr>
          <t>Pro forma</t>
        </r>
      </text>
    </comment>
    <comment ref="J47" authorId="0" shapeId="0" xr:uid="{00000000-0006-0000-3300-000015000000}">
      <text>
        <r>
          <rPr>
            <sz val="9"/>
            <color indexed="81"/>
            <rFont val="Tahoma"/>
            <family val="2"/>
          </rPr>
          <t>Normalized Adjusted EBITDA - Normalized Hurricane EBITDA</t>
        </r>
      </text>
    </comment>
    <comment ref="K47" authorId="0" shapeId="0" xr:uid="{00000000-0006-0000-3300-000016000000}">
      <text>
        <r>
          <rPr>
            <sz val="9"/>
            <color indexed="81"/>
            <rFont val="Tahoma"/>
            <family val="2"/>
          </rPr>
          <t>Normalized Adjusted EBITDA - Normalized Hurricane EBITDA</t>
        </r>
      </text>
    </comment>
    <comment ref="L47" authorId="0" shapeId="0" xr:uid="{00000000-0006-0000-3300-000017000000}">
      <text>
        <r>
          <rPr>
            <sz val="9"/>
            <color indexed="81"/>
            <rFont val="Tahoma"/>
            <family val="2"/>
          </rPr>
          <t>Pro forma</t>
        </r>
      </text>
    </comment>
    <comment ref="M47" authorId="0" shapeId="0" xr:uid="{00000000-0006-0000-3300-000018000000}">
      <text>
        <r>
          <rPr>
            <sz val="9"/>
            <color indexed="81"/>
            <rFont val="Tahoma"/>
            <family val="2"/>
          </rPr>
          <t>York EBITDA</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D39" authorId="0" shapeId="0" xr:uid="{00000000-0006-0000-3400-000001000000}">
      <text>
        <r>
          <rPr>
            <sz val="8"/>
            <color indexed="81"/>
            <rFont val="Tahoma"/>
            <family val="2"/>
          </rPr>
          <t>PF</t>
        </r>
      </text>
    </comment>
    <comment ref="E39" authorId="0" shapeId="0" xr:uid="{00000000-0006-0000-3400-000002000000}">
      <text>
        <r>
          <rPr>
            <sz val="8"/>
            <color indexed="81"/>
            <rFont val="Tahoma"/>
            <family val="2"/>
          </rPr>
          <t>PF</t>
        </r>
      </text>
    </comment>
    <comment ref="D40" authorId="0" shapeId="0" xr:uid="{00000000-0006-0000-3400-000003000000}">
      <text>
        <r>
          <rPr>
            <sz val="8"/>
            <color indexed="81"/>
            <rFont val="Tahoma"/>
            <family val="2"/>
          </rPr>
          <t>PF</t>
        </r>
      </text>
    </comment>
    <comment ref="E40" authorId="0" shapeId="0" xr:uid="{00000000-0006-0000-3400-000004000000}">
      <text>
        <r>
          <rPr>
            <sz val="8"/>
            <color indexed="81"/>
            <rFont val="Tahoma"/>
            <family val="2"/>
          </rPr>
          <t>PF</t>
        </r>
      </text>
    </comment>
    <comment ref="D41" authorId="0" shapeId="0" xr:uid="{00000000-0006-0000-3400-000005000000}">
      <text>
        <r>
          <rPr>
            <sz val="8"/>
            <color indexed="81"/>
            <rFont val="Tahoma"/>
            <family val="2"/>
          </rPr>
          <t>PF</t>
        </r>
      </text>
    </comment>
    <comment ref="E41" authorId="0" shapeId="0" xr:uid="{00000000-0006-0000-3400-000006000000}">
      <text>
        <r>
          <rPr>
            <sz val="8"/>
            <color indexed="81"/>
            <rFont val="Tahoma"/>
            <family val="2"/>
          </rPr>
          <t>PF</t>
        </r>
      </text>
    </comment>
    <comment ref="D42" authorId="0" shapeId="0" xr:uid="{00000000-0006-0000-3400-000007000000}">
      <text>
        <r>
          <rPr>
            <sz val="8"/>
            <color indexed="81"/>
            <rFont val="Tahoma"/>
            <family val="2"/>
          </rPr>
          <t>PF</t>
        </r>
      </text>
    </comment>
    <comment ref="E42" authorId="0" shapeId="0" xr:uid="{00000000-0006-0000-3400-000008000000}">
      <text>
        <r>
          <rPr>
            <sz val="8"/>
            <color indexed="81"/>
            <rFont val="Tahoma"/>
            <family val="2"/>
          </rPr>
          <t>PF</t>
        </r>
      </text>
    </comment>
    <comment ref="D44" authorId="0" shapeId="0" xr:uid="{00000000-0006-0000-3400-000009000000}">
      <text>
        <r>
          <rPr>
            <sz val="8"/>
            <color indexed="81"/>
            <rFont val="Tahoma"/>
            <family val="2"/>
          </rPr>
          <t>PF</t>
        </r>
      </text>
    </comment>
    <comment ref="E44" authorId="0" shapeId="0" xr:uid="{00000000-0006-0000-3400-00000A000000}">
      <text>
        <r>
          <rPr>
            <sz val="8"/>
            <color indexed="81"/>
            <rFont val="Tahoma"/>
            <family val="2"/>
          </rPr>
          <t>PF</t>
        </r>
      </text>
    </comment>
    <comment ref="E46" authorId="0" shapeId="0" xr:uid="{00000000-0006-0000-3400-00000B000000}">
      <text>
        <r>
          <rPr>
            <sz val="8"/>
            <color indexed="81"/>
            <rFont val="Tahoma"/>
            <family val="2"/>
          </rPr>
          <t>PF</t>
        </r>
      </text>
    </comment>
    <comment ref="E47" authorId="0" shapeId="0" xr:uid="{00000000-0006-0000-3400-00000C000000}">
      <text>
        <r>
          <rPr>
            <sz val="8"/>
            <color indexed="81"/>
            <rFont val="Tahoma"/>
            <family val="2"/>
          </rPr>
          <t>PF</t>
        </r>
      </text>
    </comment>
    <comment ref="E48" authorId="0" shapeId="0" xr:uid="{00000000-0006-0000-3400-00000D000000}">
      <text>
        <r>
          <rPr>
            <sz val="8"/>
            <color indexed="81"/>
            <rFont val="Tahoma"/>
            <family val="2"/>
          </rPr>
          <t>PF</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D26" authorId="0" shapeId="0" xr:uid="{00000000-0006-0000-3500-000001000000}">
      <text>
        <r>
          <rPr>
            <sz val="8"/>
            <color indexed="81"/>
            <rFont val="Tahoma"/>
            <family val="2"/>
          </rPr>
          <t>SYM</t>
        </r>
      </text>
    </comment>
    <comment ref="E26" authorId="0" shapeId="0" xr:uid="{00000000-0006-0000-3500-000002000000}">
      <text>
        <r>
          <rPr>
            <sz val="8"/>
            <color indexed="81"/>
            <rFont val="Tahoma"/>
            <family val="2"/>
          </rPr>
          <t>SYM</t>
        </r>
      </text>
    </comment>
    <comment ref="F26" authorId="0" shapeId="0" xr:uid="{00000000-0006-0000-3500-000003000000}">
      <text>
        <r>
          <rPr>
            <sz val="8"/>
            <color indexed="81"/>
            <rFont val="Tahoma"/>
            <family val="2"/>
          </rPr>
          <t>SYM</t>
        </r>
      </text>
    </comment>
    <comment ref="D46" authorId="0" shapeId="0" xr:uid="{00000000-0006-0000-3500-000004000000}">
      <text>
        <r>
          <rPr>
            <sz val="8"/>
            <color indexed="81"/>
            <rFont val="Tahoma"/>
            <family val="2"/>
          </rPr>
          <t>Average of Updated 2019 Guidance</t>
        </r>
      </text>
    </comment>
    <comment ref="E46" authorId="0" shapeId="0" xr:uid="{00000000-0006-0000-3500-000005000000}">
      <text>
        <r>
          <rPr>
            <sz val="8"/>
            <color indexed="81"/>
            <rFont val="Tahoma"/>
            <family val="2"/>
          </rPr>
          <t>Average of Updated 2019 Guidance</t>
        </r>
      </text>
    </comment>
    <comment ref="F46" authorId="0" shapeId="0" xr:uid="{00000000-0006-0000-3500-000006000000}">
      <text>
        <r>
          <rPr>
            <sz val="8"/>
            <color indexed="81"/>
            <rFont val="Tahoma"/>
            <family val="2"/>
          </rPr>
          <t>Average of Orignal 2019 Guidance</t>
        </r>
      </text>
    </comment>
    <comment ref="B47" authorId="0" shapeId="0" xr:uid="{333C74A6-76A5-476A-AA40-314C7AD4CDA9}">
      <text>
        <r>
          <rPr>
            <sz val="8"/>
            <color indexed="81"/>
            <rFont val="Tahoma"/>
            <family val="2"/>
          </rPr>
          <t>PF</t>
        </r>
      </text>
    </comment>
    <comment ref="C47" authorId="0" shapeId="0" xr:uid="{00000000-0006-0000-3500-000007000000}">
      <text>
        <r>
          <rPr>
            <sz val="8"/>
            <color indexed="81"/>
            <rFont val="Tahoma"/>
            <family val="2"/>
          </rPr>
          <t>PF</t>
        </r>
      </text>
    </comment>
    <comment ref="D47" authorId="0" shapeId="0" xr:uid="{00000000-0006-0000-3500-000008000000}">
      <text>
        <r>
          <rPr>
            <sz val="8"/>
            <color indexed="81"/>
            <rFont val="Tahoma"/>
            <family val="2"/>
          </rPr>
          <t>PF</t>
        </r>
      </text>
    </comment>
    <comment ref="E47" authorId="0" shapeId="0" xr:uid="{00000000-0006-0000-3500-000009000000}">
      <text>
        <r>
          <rPr>
            <sz val="8"/>
            <color indexed="81"/>
            <rFont val="Tahoma"/>
            <family val="2"/>
          </rPr>
          <t>PF</t>
        </r>
      </text>
    </comment>
    <comment ref="F47" authorId="0" shapeId="0" xr:uid="{00000000-0006-0000-3500-00000A000000}">
      <text>
        <r>
          <rPr>
            <sz val="8"/>
            <color indexed="81"/>
            <rFont val="Tahoma"/>
            <family val="2"/>
          </rPr>
          <t>PF</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25" authorId="0" shapeId="0" xr:uid="{00000000-0006-0000-3600-000001000000}">
      <text>
        <r>
          <rPr>
            <sz val="8"/>
            <color indexed="81"/>
            <rFont val="Tahoma"/>
            <family val="2"/>
          </rPr>
          <t>York Model Adjustment</t>
        </r>
      </text>
    </comment>
    <comment ref="C25" authorId="0" shapeId="0" xr:uid="{00000000-0006-0000-3600-000002000000}">
      <text>
        <r>
          <rPr>
            <sz val="8"/>
            <color indexed="81"/>
            <rFont val="Tahoma"/>
            <family val="2"/>
          </rPr>
          <t>York Model Adjustment</t>
        </r>
      </text>
    </comment>
    <comment ref="D25" authorId="0" shapeId="0" xr:uid="{00000000-0006-0000-3600-000003000000}">
      <text>
        <r>
          <rPr>
            <sz val="8"/>
            <color indexed="81"/>
            <rFont val="Tahoma"/>
            <family val="2"/>
          </rPr>
          <t>York Model Adjustment</t>
        </r>
      </text>
    </comment>
    <comment ref="B48" authorId="0" shapeId="0" xr:uid="{00000000-0006-0000-3600-000004000000}">
      <text>
        <r>
          <rPr>
            <sz val="8"/>
            <color indexed="81"/>
            <rFont val="Tahoma"/>
            <family val="2"/>
          </rPr>
          <t>Calculated</t>
        </r>
      </text>
    </comment>
    <comment ref="C48" authorId="0" shapeId="0" xr:uid="{00000000-0006-0000-3600-000005000000}">
      <text>
        <r>
          <rPr>
            <sz val="8"/>
            <color indexed="81"/>
            <rFont val="Tahoma"/>
            <family val="2"/>
          </rPr>
          <t>Calculated</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A16" authorId="0" shapeId="0" xr:uid="{00000000-0006-0000-3800-000003000000}">
      <text>
        <r>
          <rPr>
            <sz val="8"/>
            <color indexed="81"/>
            <rFont val="Tahoma"/>
            <family val="2"/>
          </rPr>
          <t>Unadjusted EBITDA</t>
        </r>
      </text>
    </comment>
    <comment ref="D25" authorId="0" shapeId="0" xr:uid="{83E17CCF-83CA-4094-B667-31B266DE4FD6}">
      <text>
        <r>
          <rPr>
            <sz val="8"/>
            <color indexed="81"/>
            <rFont val="Tahoma"/>
            <family val="2"/>
          </rPr>
          <t>Adjustments to LTM EBITDA</t>
        </r>
      </text>
    </comment>
    <comment ref="G25" authorId="0" shapeId="0" xr:uid="{00000000-0006-0000-3800-000005000000}">
      <text>
        <r>
          <rPr>
            <sz val="8"/>
            <color indexed="81"/>
            <rFont val="Tahoma"/>
            <family val="2"/>
          </rPr>
          <t>Adjustments to LTM EBITDA</t>
        </r>
      </text>
    </comment>
    <comment ref="H25" authorId="0" shapeId="0" xr:uid="{00000000-0006-0000-3800-000006000000}">
      <text>
        <r>
          <rPr>
            <sz val="8"/>
            <color indexed="81"/>
            <rFont val="Tahoma"/>
            <family val="2"/>
          </rPr>
          <t>Adjustments to LTM EBITDA</t>
        </r>
      </text>
    </comment>
    <comment ref="I39" authorId="0" shapeId="0" xr:uid="{00000000-0006-0000-3800-000007000000}">
      <text>
        <r>
          <rPr>
            <sz val="8"/>
            <color indexed="81"/>
            <rFont val="Tahoma"/>
            <family val="2"/>
          </rPr>
          <t>PF</t>
        </r>
      </text>
    </comment>
    <comment ref="I40" authorId="0" shapeId="0" xr:uid="{00000000-0006-0000-3800-000008000000}">
      <text>
        <r>
          <rPr>
            <sz val="8"/>
            <color indexed="81"/>
            <rFont val="Tahoma"/>
            <family val="2"/>
          </rPr>
          <t>PF</t>
        </r>
      </text>
    </comment>
    <comment ref="I41" authorId="0" shapeId="0" xr:uid="{00000000-0006-0000-3800-000009000000}">
      <text>
        <r>
          <rPr>
            <sz val="8"/>
            <color indexed="81"/>
            <rFont val="Tahoma"/>
            <family val="2"/>
          </rPr>
          <t>PF</t>
        </r>
      </text>
    </comment>
    <comment ref="I42" authorId="0" shapeId="0" xr:uid="{00000000-0006-0000-3800-00000A000000}">
      <text>
        <r>
          <rPr>
            <sz val="8"/>
            <color indexed="81"/>
            <rFont val="Tahoma"/>
            <family val="2"/>
          </rPr>
          <t>PF</t>
        </r>
      </text>
    </comment>
    <comment ref="I44" authorId="0" shapeId="0" xr:uid="{00000000-0006-0000-3800-00000B000000}">
      <text>
        <r>
          <rPr>
            <sz val="8"/>
            <color indexed="81"/>
            <rFont val="Tahoma"/>
            <family val="2"/>
          </rPr>
          <t>PF</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F24" authorId="0" shapeId="0" xr:uid="{00000000-0006-0000-3900-000001000000}">
      <text>
        <r>
          <rPr>
            <sz val="8"/>
            <color indexed="81"/>
            <rFont val="Tahoma"/>
            <family val="2"/>
          </rPr>
          <t>SYM</t>
        </r>
      </text>
    </comment>
    <comment ref="G40" authorId="0" shapeId="0" xr:uid="{00000000-0006-0000-3900-000002000000}">
      <text>
        <r>
          <rPr>
            <sz val="8"/>
            <color indexed="81"/>
            <rFont val="Tahoma"/>
            <family val="2"/>
          </rPr>
          <t>Adjusted as per new Debt from York Model</t>
        </r>
      </text>
    </comment>
    <comment ref="G41" authorId="0" shapeId="0" xr:uid="{00000000-0006-0000-3900-000003000000}">
      <text>
        <r>
          <rPr>
            <sz val="8"/>
            <color indexed="81"/>
            <rFont val="Tahoma"/>
            <family val="2"/>
          </rPr>
          <t>Adjusted as per new Debt from York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H40" authorId="0" shapeId="0" xr:uid="{00000000-0006-0000-0600-000001000000}">
      <text>
        <r>
          <rPr>
            <sz val="8"/>
            <color indexed="81"/>
            <rFont val="Tahoma"/>
            <family val="2"/>
          </rPr>
          <t>PF - Includes delayed draw down</t>
        </r>
      </text>
    </comment>
    <comment ref="H41" authorId="0" shapeId="0" xr:uid="{00000000-0006-0000-0600-000002000000}">
      <text>
        <r>
          <rPr>
            <sz val="8"/>
            <color indexed="81"/>
            <rFont val="Tahoma"/>
            <family val="2"/>
          </rPr>
          <t>PF - Includes delayed draw down</t>
        </r>
      </text>
    </comment>
    <comment ref="G48" authorId="0" shapeId="0" xr:uid="{00000000-0006-0000-0600-000003000000}">
      <text>
        <r>
          <rPr>
            <sz val="8"/>
            <color indexed="81"/>
            <rFont val="Tahoma"/>
            <family val="2"/>
          </rPr>
          <t>Calculated</t>
        </r>
      </text>
    </comment>
    <comment ref="H48" authorId="0" shapeId="0" xr:uid="{00000000-0006-0000-0600-000004000000}">
      <text>
        <r>
          <rPr>
            <sz val="8"/>
            <color indexed="81"/>
            <rFont val="Tahoma"/>
            <family val="2"/>
          </rPr>
          <t>Calculated</t>
        </r>
      </text>
    </comment>
    <comment ref="I48" authorId="0" shapeId="0" xr:uid="{00000000-0006-0000-0600-000005000000}">
      <text>
        <r>
          <rPr>
            <sz val="8"/>
            <color indexed="81"/>
            <rFont val="Tahoma"/>
            <family val="2"/>
          </rPr>
          <t>Calculated</t>
        </r>
      </text>
    </comment>
    <comment ref="J48" authorId="0" shapeId="0" xr:uid="{00000000-0006-0000-0600-000006000000}">
      <text>
        <r>
          <rPr>
            <sz val="8"/>
            <color indexed="81"/>
            <rFont val="Tahoma"/>
            <family val="2"/>
          </rPr>
          <t>Calculated</t>
        </r>
      </text>
    </comment>
    <comment ref="K48" authorId="0" shapeId="0" xr:uid="{00000000-0006-0000-0600-000007000000}">
      <text>
        <r>
          <rPr>
            <sz val="8"/>
            <color indexed="81"/>
            <rFont val="Tahoma"/>
            <family val="2"/>
          </rPr>
          <t>Calculated</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I48" authorId="0" shapeId="0" xr:uid="{00000000-0006-0000-3A00-000001000000}">
      <text>
        <r>
          <rPr>
            <sz val="8"/>
            <color indexed="81"/>
            <rFont val="Tahoma"/>
            <family val="2"/>
          </rPr>
          <t>Calculated</t>
        </r>
      </text>
    </comment>
    <comment ref="J48" authorId="0" shapeId="0" xr:uid="{00000000-0006-0000-3A00-000002000000}">
      <text>
        <r>
          <rPr>
            <sz val="8"/>
            <color indexed="81"/>
            <rFont val="Tahoma"/>
            <family val="2"/>
          </rPr>
          <t>Calculated</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E46" authorId="0" shapeId="0" xr:uid="{6A8CBA8F-75AA-46C6-85AF-8447FCDECFF0}">
      <text>
        <r>
          <rPr>
            <sz val="9"/>
            <color indexed="81"/>
            <rFont val="Tahoma"/>
            <family val="2"/>
          </rPr>
          <t>2Q Annualized</t>
        </r>
      </text>
    </comment>
    <comment ref="F46" authorId="0" shapeId="0" xr:uid="{61BA1ADF-E125-4E19-815A-C445266C5D62}">
      <text>
        <r>
          <rPr>
            <sz val="9"/>
            <color indexed="81"/>
            <rFont val="Tahoma"/>
            <family val="2"/>
          </rPr>
          <t>2Q Annualized</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D24" authorId="0" shapeId="0" xr:uid="{7712F74A-BFCA-496B-BF67-F1B2BD1984FB}">
      <text>
        <r>
          <rPr>
            <sz val="9"/>
            <color indexed="81"/>
            <rFont val="Tahoma"/>
            <family val="2"/>
          </rPr>
          <t>SYM</t>
        </r>
      </text>
    </comment>
    <comment ref="E24" authorId="0" shapeId="0" xr:uid="{B59FDE92-8CBF-480A-BC61-92E0B8EA99BD}">
      <text>
        <r>
          <rPr>
            <sz val="9"/>
            <color indexed="81"/>
            <rFont val="Tahoma"/>
            <family val="2"/>
          </rPr>
          <t>SYM</t>
        </r>
      </text>
    </comment>
    <comment ref="F24" authorId="0" shapeId="0" xr:uid="{2B78D3DF-A5D4-4452-8777-D5DBA3D75225}">
      <text>
        <r>
          <rPr>
            <sz val="9"/>
            <color indexed="81"/>
            <rFont val="Tahoma"/>
            <family val="2"/>
          </rPr>
          <t>2Q Annualized</t>
        </r>
      </text>
    </comment>
    <comment ref="I24" authorId="0" shapeId="0" xr:uid="{00000000-0006-0000-3C00-000001000000}">
      <text>
        <r>
          <rPr>
            <sz val="9"/>
            <color indexed="81"/>
            <rFont val="Tahoma"/>
            <family val="2"/>
          </rPr>
          <t>Sourced from York Model</t>
        </r>
      </text>
    </comment>
    <comment ref="I39" authorId="0" shapeId="0" xr:uid="{00000000-0006-0000-3C00-000002000000}">
      <text>
        <r>
          <rPr>
            <sz val="8"/>
            <color indexed="81"/>
            <rFont val="Tahoma"/>
            <family val="2"/>
          </rPr>
          <t>PF</t>
        </r>
      </text>
    </comment>
    <comment ref="I40" authorId="0" shapeId="0" xr:uid="{00000000-0006-0000-3C00-000003000000}">
      <text>
        <r>
          <rPr>
            <sz val="8"/>
            <color indexed="81"/>
            <rFont val="Tahoma"/>
            <family val="2"/>
          </rPr>
          <t>PF</t>
        </r>
      </text>
    </comment>
    <comment ref="I41" authorId="0" shapeId="0" xr:uid="{00000000-0006-0000-3C00-000004000000}">
      <text>
        <r>
          <rPr>
            <sz val="8"/>
            <color indexed="81"/>
            <rFont val="Tahoma"/>
            <family val="2"/>
          </rPr>
          <t>PF</t>
        </r>
      </text>
    </comment>
    <comment ref="I42" authorId="0" shapeId="0" xr:uid="{00000000-0006-0000-3C00-000005000000}">
      <text>
        <r>
          <rPr>
            <sz val="8"/>
            <color indexed="81"/>
            <rFont val="Tahoma"/>
            <family val="2"/>
          </rPr>
          <t>PF</t>
        </r>
      </text>
    </comment>
    <comment ref="I44" authorId="0" shapeId="0" xr:uid="{00000000-0006-0000-3C00-000006000000}">
      <text>
        <r>
          <rPr>
            <sz val="8"/>
            <color indexed="81"/>
            <rFont val="Tahoma"/>
            <family val="2"/>
          </rPr>
          <t>PF</t>
        </r>
      </text>
    </comment>
    <comment ref="D46" authorId="0" shapeId="0" xr:uid="{F84034A0-1277-493F-B4E2-F960DD9D89CC}">
      <text>
        <r>
          <rPr>
            <sz val="9"/>
            <color indexed="81"/>
            <rFont val="Tahoma"/>
            <family val="2"/>
          </rPr>
          <t>3Q Annualized</t>
        </r>
      </text>
    </comment>
    <comment ref="E46" authorId="0" shapeId="0" xr:uid="{C0055CEA-84C9-4045-8F1B-E525206A6951}">
      <text>
        <r>
          <rPr>
            <sz val="9"/>
            <color indexed="81"/>
            <rFont val="Tahoma"/>
            <family val="2"/>
          </rPr>
          <t>3Q Annualized</t>
        </r>
      </text>
    </comment>
    <comment ref="F46" authorId="0" shapeId="0" xr:uid="{F2E9B47C-7BF5-433C-9B67-6DA0505FCB1A}">
      <text>
        <r>
          <rPr>
            <sz val="9"/>
            <color indexed="81"/>
            <rFont val="Tahoma"/>
            <family val="2"/>
          </rPr>
          <t>2Q Annualized</t>
        </r>
      </text>
    </comment>
    <comment ref="I47" authorId="0" shapeId="0" xr:uid="{00000000-0006-0000-3C00-000007000000}">
      <text>
        <r>
          <rPr>
            <sz val="8"/>
            <color indexed="81"/>
            <rFont val="Tahoma"/>
            <family val="2"/>
          </rPr>
          <t>PF</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E25" authorId="0" shapeId="0" xr:uid="{00000000-0006-0000-3E00-000001000000}">
      <text>
        <r>
          <rPr>
            <b/>
            <sz val="8"/>
            <color indexed="81"/>
            <rFont val="Tahoma"/>
            <family val="2"/>
          </rPr>
          <t>Source: July 2019 LP</t>
        </r>
      </text>
    </comment>
    <comment ref="F25" authorId="0" shapeId="0" xr:uid="{00000000-0006-0000-3E00-000002000000}">
      <text>
        <r>
          <rPr>
            <b/>
            <sz val="8"/>
            <color indexed="81"/>
            <rFont val="Tahoma"/>
            <family val="2"/>
          </rPr>
          <t>Source: July 2019 LP</t>
        </r>
      </text>
    </comment>
    <comment ref="D40" authorId="0" shapeId="0" xr:uid="{00000000-0006-0000-3E00-000003000000}">
      <text>
        <r>
          <rPr>
            <sz val="9"/>
            <color indexed="81"/>
            <rFont val="Tahoma"/>
            <family val="2"/>
          </rPr>
          <t>SYM</t>
        </r>
      </text>
    </comment>
    <comment ref="E40" authorId="0" shapeId="0" xr:uid="{00000000-0006-0000-3E00-000004000000}">
      <text>
        <r>
          <rPr>
            <sz val="8"/>
            <color indexed="81"/>
            <rFont val="Tahoma"/>
            <family val="2"/>
          </rPr>
          <t>Ammortization at 1.0% pa</t>
        </r>
      </text>
    </comment>
    <comment ref="E46" authorId="0" shapeId="0" xr:uid="{00000000-0006-0000-3E00-000005000000}">
      <text>
        <r>
          <rPr>
            <b/>
            <sz val="8"/>
            <color indexed="81"/>
            <rFont val="Tahoma"/>
            <family val="2"/>
          </rPr>
          <t>Source: July 2019 LP</t>
        </r>
      </text>
    </comment>
    <comment ref="F46" authorId="0" shapeId="0" xr:uid="{00000000-0006-0000-3E00-000006000000}">
      <text>
        <r>
          <rPr>
            <b/>
            <sz val="8"/>
            <color indexed="81"/>
            <rFont val="Tahoma"/>
            <family val="2"/>
          </rPr>
          <t>Source: July 2019 LP</t>
        </r>
      </text>
    </comment>
    <comment ref="F48" authorId="0" shapeId="0" xr:uid="{00000000-0006-0000-3E00-000007000000}">
      <text>
        <r>
          <rPr>
            <sz val="8"/>
            <color indexed="81"/>
            <rFont val="Tahoma"/>
            <family val="2"/>
          </rPr>
          <t>Source: York Model</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H39" authorId="0" shapeId="0" xr:uid="{00000000-0006-0000-3F00-000001000000}">
      <text>
        <r>
          <rPr>
            <sz val="9"/>
            <color indexed="81"/>
            <rFont val="Tahoma"/>
            <family val="2"/>
          </rPr>
          <t>PF</t>
        </r>
      </text>
    </comment>
    <comment ref="H40" authorId="0" shapeId="0" xr:uid="{00000000-0006-0000-3F00-000002000000}">
      <text>
        <r>
          <rPr>
            <sz val="9"/>
            <color indexed="81"/>
            <rFont val="Tahoma"/>
            <family val="2"/>
          </rPr>
          <t>PF</t>
        </r>
      </text>
    </comment>
    <comment ref="H41" authorId="0" shapeId="0" xr:uid="{00000000-0006-0000-3F00-000003000000}">
      <text>
        <r>
          <rPr>
            <sz val="9"/>
            <color indexed="81"/>
            <rFont val="Tahoma"/>
            <family val="2"/>
          </rPr>
          <t>PF</t>
        </r>
      </text>
    </comment>
    <comment ref="F42" authorId="0" shapeId="0" xr:uid="{8D5C3C4A-6A59-44F8-8DF7-12D39E4E77DB}">
      <text>
        <r>
          <rPr>
            <sz val="9"/>
            <color indexed="81"/>
            <rFont val="Tahoma"/>
            <family val="2"/>
          </rPr>
          <t>PF</t>
        </r>
      </text>
    </comment>
    <comment ref="G42" authorId="0" shapeId="0" xr:uid="{00000000-0006-0000-3F00-000004000000}">
      <text>
        <r>
          <rPr>
            <sz val="9"/>
            <color indexed="81"/>
            <rFont val="Tahoma"/>
            <family val="2"/>
          </rPr>
          <t>PF</t>
        </r>
      </text>
    </comment>
    <comment ref="H42" authorId="0" shapeId="0" xr:uid="{00000000-0006-0000-3F00-000005000000}">
      <text>
        <r>
          <rPr>
            <sz val="9"/>
            <color indexed="81"/>
            <rFont val="Tahoma"/>
            <family val="2"/>
          </rPr>
          <t>PF</t>
        </r>
      </text>
    </comment>
    <comment ref="H44" authorId="0" shapeId="0" xr:uid="{00000000-0006-0000-3F00-000006000000}">
      <text>
        <r>
          <rPr>
            <sz val="9"/>
            <color indexed="81"/>
            <rFont val="Tahoma"/>
            <family val="2"/>
          </rPr>
          <t>PF</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I25" authorId="0" shapeId="0" xr:uid="{00000000-0006-0000-4000-000001000000}">
      <text>
        <r>
          <rPr>
            <sz val="9"/>
            <color indexed="81"/>
            <rFont val="Tahoma"/>
            <family val="2"/>
          </rPr>
          <t>Assumed to be the same</t>
        </r>
      </text>
    </comment>
    <comment ref="J25" authorId="0" shapeId="0" xr:uid="{00000000-0006-0000-4000-000002000000}">
      <text>
        <r>
          <rPr>
            <sz val="8"/>
            <color indexed="81"/>
            <rFont val="Tahoma"/>
            <family val="2"/>
          </rPr>
          <t>PF</t>
        </r>
      </text>
    </comment>
    <comment ref="I39" authorId="0" shapeId="0" xr:uid="{00000000-0006-0000-4000-000003000000}">
      <text>
        <r>
          <rPr>
            <sz val="8"/>
            <color indexed="81"/>
            <rFont val="Tahoma"/>
            <family val="2"/>
          </rPr>
          <t>PF</t>
        </r>
      </text>
    </comment>
    <comment ref="J39" authorId="0" shapeId="0" xr:uid="{00000000-0006-0000-4000-000004000000}">
      <text>
        <r>
          <rPr>
            <sz val="8"/>
            <color indexed="81"/>
            <rFont val="Tahoma"/>
            <family val="2"/>
          </rPr>
          <t>PF</t>
        </r>
      </text>
    </comment>
    <comment ref="I40" authorId="0" shapeId="0" xr:uid="{00000000-0006-0000-4000-000005000000}">
      <text>
        <r>
          <rPr>
            <sz val="8"/>
            <color indexed="81"/>
            <rFont val="Tahoma"/>
            <family val="2"/>
          </rPr>
          <t>PF</t>
        </r>
      </text>
    </comment>
    <comment ref="J40" authorId="0" shapeId="0" xr:uid="{00000000-0006-0000-4000-000006000000}">
      <text>
        <r>
          <rPr>
            <sz val="8"/>
            <color indexed="81"/>
            <rFont val="Tahoma"/>
            <family val="2"/>
          </rPr>
          <t>PF</t>
        </r>
      </text>
    </comment>
    <comment ref="I41" authorId="0" shapeId="0" xr:uid="{00000000-0006-0000-4000-000007000000}">
      <text>
        <r>
          <rPr>
            <sz val="8"/>
            <color indexed="81"/>
            <rFont val="Tahoma"/>
            <family val="2"/>
          </rPr>
          <t>PF</t>
        </r>
      </text>
    </comment>
    <comment ref="J41" authorId="0" shapeId="0" xr:uid="{00000000-0006-0000-4000-000008000000}">
      <text>
        <r>
          <rPr>
            <sz val="8"/>
            <color indexed="81"/>
            <rFont val="Tahoma"/>
            <family val="2"/>
          </rPr>
          <t>PF</t>
        </r>
      </text>
    </comment>
    <comment ref="I42" authorId="0" shapeId="0" xr:uid="{00000000-0006-0000-4000-000009000000}">
      <text>
        <r>
          <rPr>
            <sz val="8"/>
            <color indexed="81"/>
            <rFont val="Tahoma"/>
            <family val="2"/>
          </rPr>
          <t>PF</t>
        </r>
      </text>
    </comment>
    <comment ref="J42" authorId="0" shapeId="0" xr:uid="{00000000-0006-0000-4000-00000A000000}">
      <text>
        <r>
          <rPr>
            <sz val="8"/>
            <color indexed="81"/>
            <rFont val="Tahoma"/>
            <family val="2"/>
          </rPr>
          <t>PF</t>
        </r>
      </text>
    </comment>
    <comment ref="I44" authorId="0" shapeId="0" xr:uid="{00000000-0006-0000-4000-00000B000000}">
      <text>
        <r>
          <rPr>
            <sz val="8"/>
            <color indexed="81"/>
            <rFont val="Tahoma"/>
            <family val="2"/>
          </rPr>
          <t>PF</t>
        </r>
      </text>
    </comment>
    <comment ref="J44" authorId="0" shapeId="0" xr:uid="{00000000-0006-0000-4000-00000C000000}">
      <text>
        <r>
          <rPr>
            <sz val="8"/>
            <color indexed="81"/>
            <rFont val="Tahoma"/>
            <family val="2"/>
          </rPr>
          <t>PF</t>
        </r>
      </text>
    </comment>
    <comment ref="H47" authorId="0" shapeId="0" xr:uid="{00000000-0006-0000-4000-00000D000000}">
      <text>
        <r>
          <rPr>
            <sz val="8"/>
            <color indexed="81"/>
            <rFont val="Tahoma"/>
            <family val="2"/>
          </rPr>
          <t>PF</t>
        </r>
      </text>
    </comment>
    <comment ref="I47" authorId="0" shapeId="0" xr:uid="{00000000-0006-0000-4000-00000E000000}">
      <text>
        <r>
          <rPr>
            <sz val="8"/>
            <color indexed="81"/>
            <rFont val="Tahoma"/>
            <family val="2"/>
          </rPr>
          <t>PF</t>
        </r>
      </text>
    </comment>
    <comment ref="J47" authorId="0" shapeId="0" xr:uid="{00000000-0006-0000-4000-00000F000000}">
      <text>
        <r>
          <rPr>
            <sz val="8"/>
            <color indexed="81"/>
            <rFont val="Tahoma"/>
            <family val="2"/>
          </rPr>
          <t>PF</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39" authorId="0" shapeId="0" xr:uid="{E53FB224-A381-4D01-96F6-52BE992013AC}">
      <text>
        <r>
          <rPr>
            <sz val="9"/>
            <color indexed="81"/>
            <rFont val="Tahoma"/>
            <family val="2"/>
          </rPr>
          <t>PF</t>
        </r>
      </text>
    </comment>
    <comment ref="B40" authorId="0" shapeId="0" xr:uid="{FFF16605-F548-4891-9C6F-990D76CEC955}">
      <text>
        <r>
          <rPr>
            <sz val="9"/>
            <color indexed="81"/>
            <rFont val="Tahoma"/>
            <family val="2"/>
          </rPr>
          <t>PF</t>
        </r>
      </text>
    </comment>
    <comment ref="B41" authorId="0" shapeId="0" xr:uid="{1C5CBF21-9897-4F6E-BFD2-23B6A63A33B2}">
      <text>
        <r>
          <rPr>
            <sz val="9"/>
            <color indexed="81"/>
            <rFont val="Tahoma"/>
            <family val="2"/>
          </rPr>
          <t>PF</t>
        </r>
      </text>
    </comment>
    <comment ref="B44" authorId="0" shapeId="0" xr:uid="{367A3535-D89C-4276-914F-CD3DDA73099D}">
      <text>
        <r>
          <rPr>
            <sz val="9"/>
            <color indexed="81"/>
            <rFont val="Tahoma"/>
            <family val="2"/>
          </rPr>
          <t>PF</t>
        </r>
      </text>
    </comment>
    <comment ref="E46" authorId="0" shapeId="0" xr:uid="{5425647E-B6AD-4044-8233-9FCC2E05F685}">
      <text>
        <r>
          <rPr>
            <sz val="9"/>
            <color indexed="81"/>
            <rFont val="Tahoma"/>
            <family val="2"/>
          </rPr>
          <t>Three quarters annualized</t>
        </r>
      </text>
    </comment>
    <comment ref="F46" authorId="0" shapeId="0" xr:uid="{A0954B05-BA54-44CE-84DC-59A84F77AD6D}">
      <text>
        <r>
          <rPr>
            <sz val="9"/>
            <color indexed="81"/>
            <rFont val="Tahoma"/>
            <family val="2"/>
          </rPr>
          <t>Two quarters annualized</t>
        </r>
      </text>
    </comment>
    <comment ref="B47" authorId="0" shapeId="0" xr:uid="{D22FC29A-7637-49B6-928B-4C8D8956ECF7}">
      <text>
        <r>
          <rPr>
            <sz val="9"/>
            <color indexed="81"/>
            <rFont val="Tahoma"/>
            <family val="2"/>
          </rPr>
          <t>PF</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H12" authorId="0" shapeId="0" xr:uid="{7D9BD6CC-3BBC-4EA0-8E59-FE104BC89B2D}">
      <text>
        <r>
          <rPr>
            <sz val="9"/>
            <color indexed="81"/>
            <rFont val="Tahoma"/>
            <family val="2"/>
          </rPr>
          <t>Restated</t>
        </r>
      </text>
    </comment>
    <comment ref="I12" authorId="0" shapeId="0" xr:uid="{CF055332-1E1E-4AB2-91AD-11519B193F00}">
      <text>
        <r>
          <rPr>
            <sz val="9"/>
            <color indexed="81"/>
            <rFont val="Tahoma"/>
            <family val="2"/>
          </rPr>
          <t>Restated</t>
        </r>
      </text>
    </comment>
    <comment ref="J12" authorId="0" shapeId="0" xr:uid="{D1F364A3-DB5B-4F9A-9EF7-11B22398FFFF}">
      <text>
        <r>
          <rPr>
            <sz val="9"/>
            <color indexed="81"/>
            <rFont val="Tahoma"/>
            <family val="2"/>
          </rPr>
          <t>Restated</t>
        </r>
      </text>
    </comment>
    <comment ref="H16" authorId="0" shapeId="0" xr:uid="{C2ACC227-8DC5-4E24-AC5F-C446BB57CA43}">
      <text>
        <r>
          <rPr>
            <sz val="9"/>
            <color indexed="81"/>
            <rFont val="Tahoma"/>
            <family val="2"/>
          </rPr>
          <t>Restated</t>
        </r>
      </text>
    </comment>
    <comment ref="I16" authorId="0" shapeId="0" xr:uid="{2A67A9CF-68AD-43AD-96FA-7DB5FEAF611F}">
      <text>
        <r>
          <rPr>
            <sz val="9"/>
            <color indexed="81"/>
            <rFont val="Tahoma"/>
            <family val="2"/>
          </rPr>
          <t>Restated</t>
        </r>
      </text>
    </comment>
    <comment ref="J16" authorId="0" shapeId="0" xr:uid="{3EDAB4DB-9E15-4F54-A39E-8DA12A7498FD}">
      <text>
        <r>
          <rPr>
            <sz val="9"/>
            <color indexed="81"/>
            <rFont val="Tahoma"/>
            <family val="2"/>
          </rPr>
          <t>Restated</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40" authorId="0" shapeId="0" xr:uid="{D248A600-131E-4F6A-A16F-FA9C7F1DF400}">
      <text>
        <r>
          <rPr>
            <sz val="9"/>
            <color indexed="81"/>
            <rFont val="Tahoma"/>
            <family val="2"/>
          </rPr>
          <t>New $1,130mm Term Loan B, initial $615mm draw</t>
        </r>
      </text>
    </comment>
    <comment ref="C40" authorId="0" shapeId="0" xr:uid="{6B6CFE9A-4473-4227-9064-5A0C993DFF02}">
      <text>
        <r>
          <rPr>
            <sz val="9"/>
            <color indexed="81"/>
            <rFont val="Tahoma"/>
            <family val="2"/>
          </rPr>
          <t>New $1,130mm Term Loan B, initial $615mm draw as per April 2020 Presentation</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47" authorId="0" shapeId="0" xr:uid="{4734A237-2FB4-4B99-BF9F-EABE72D1DB13}">
      <text>
        <r>
          <rPr>
            <sz val="9"/>
            <color indexed="81"/>
            <rFont val="Tahoma"/>
            <family val="2"/>
          </rPr>
          <t>PF</t>
        </r>
      </text>
    </comment>
    <comment ref="C47" authorId="0" shapeId="0" xr:uid="{0364FA67-44A6-4D8E-A3A9-4D3AB70DCC4B}">
      <text>
        <r>
          <rPr>
            <sz val="9"/>
            <color indexed="81"/>
            <rFont val="Tahoma"/>
            <family val="2"/>
          </rPr>
          <t>PF - Assumed to be the same as last quarter's LTM due to lack of information</t>
        </r>
      </text>
    </comment>
    <comment ref="D47" authorId="0" shapeId="0" xr:uid="{EF2812D6-1972-4662-AC30-8AF00CA93520}">
      <text>
        <r>
          <rPr>
            <sz val="9"/>
            <color indexed="81"/>
            <rFont val="Tahoma"/>
            <family val="2"/>
          </rPr>
          <t>PF</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H40" authorId="0" shapeId="0" xr:uid="{00000000-0006-0000-0800-000001000000}">
      <text>
        <r>
          <rPr>
            <sz val="8"/>
            <color indexed="81"/>
            <rFont val="Tahoma"/>
            <family val="2"/>
          </rPr>
          <t>Proceeds from New Term Loan A of $750.0mm</t>
        </r>
      </text>
    </comment>
    <comment ref="H41" authorId="0" shapeId="0" xr:uid="{00000000-0006-0000-0800-000002000000}">
      <text>
        <r>
          <rPr>
            <sz val="8"/>
            <color indexed="81"/>
            <rFont val="Tahoma"/>
            <family val="2"/>
          </rPr>
          <t>Repayment of $1,250mm 4.625% Senior Notes ($750.0mm from 3.875% Senior Notes Proceeds and $500.0mm from Term Loan A Proceeds)</t>
        </r>
      </text>
    </comment>
    <comment ref="H44" authorId="0" shapeId="0" xr:uid="{00000000-0006-0000-0800-000003000000}">
      <text>
        <r>
          <rPr>
            <sz val="8"/>
            <color indexed="81"/>
            <rFont val="Tahoma"/>
            <family val="2"/>
          </rPr>
          <t>Repayment of $1,250mm Senior Notes and Proceeds from Term Loan A of $750.0mm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B12" authorId="0" shapeId="0" xr:uid="{00000000-0006-0000-0B00-000001000000}">
      <text>
        <r>
          <rPr>
            <sz val="8"/>
            <color indexed="81"/>
            <rFont val="Tahoma"/>
            <family val="2"/>
          </rPr>
          <t>Source: Presentation</t>
        </r>
      </text>
    </comment>
    <comment ref="C12" authorId="0" shapeId="0" xr:uid="{00000000-0006-0000-0B00-000002000000}">
      <text>
        <r>
          <rPr>
            <sz val="8"/>
            <color indexed="81"/>
            <rFont val="Tahoma"/>
            <family val="2"/>
          </rPr>
          <t>Source: Presentation</t>
        </r>
      </text>
    </comment>
    <comment ref="F12" authorId="0" shapeId="0" xr:uid="{00000000-0006-0000-0B00-000003000000}">
      <text>
        <r>
          <rPr>
            <sz val="8"/>
            <color indexed="81"/>
            <rFont val="Tahoma"/>
            <family val="2"/>
          </rPr>
          <t>Source: Presentation</t>
        </r>
      </text>
    </comment>
    <comment ref="G12" authorId="0" shapeId="0" xr:uid="{00000000-0006-0000-0B00-000004000000}">
      <text>
        <r>
          <rPr>
            <sz val="8"/>
            <color indexed="81"/>
            <rFont val="Tahoma"/>
            <family val="2"/>
          </rPr>
          <t>Source: Presentation</t>
        </r>
      </text>
    </comment>
    <comment ref="B16" authorId="0" shapeId="0" xr:uid="{00000000-0006-0000-0B00-000005000000}">
      <text>
        <r>
          <rPr>
            <sz val="8"/>
            <color indexed="81"/>
            <rFont val="Tahoma"/>
            <family val="2"/>
          </rPr>
          <t>Source: Presentation</t>
        </r>
      </text>
    </comment>
    <comment ref="C16" authorId="0" shapeId="0" xr:uid="{00000000-0006-0000-0B00-000006000000}">
      <text>
        <r>
          <rPr>
            <sz val="8"/>
            <color indexed="81"/>
            <rFont val="Tahoma"/>
            <family val="2"/>
          </rPr>
          <t>Source: Presentation</t>
        </r>
      </text>
    </comment>
    <comment ref="F16" authorId="0" shapeId="0" xr:uid="{00000000-0006-0000-0B00-000007000000}">
      <text>
        <r>
          <rPr>
            <sz val="8"/>
            <color indexed="81"/>
            <rFont val="Tahoma"/>
            <family val="2"/>
          </rPr>
          <t>Source: Presentation</t>
        </r>
      </text>
    </comment>
    <comment ref="G16" authorId="0" shapeId="0" xr:uid="{00000000-0006-0000-0B00-000008000000}">
      <text>
        <r>
          <rPr>
            <sz val="8"/>
            <color indexed="81"/>
            <rFont val="Tahoma"/>
            <family val="2"/>
          </rPr>
          <t>Source: Presentation</t>
        </r>
      </text>
    </comment>
    <comment ref="B27" authorId="0" shapeId="0" xr:uid="{00000000-0006-0000-0B00-000009000000}">
      <text>
        <r>
          <rPr>
            <sz val="8"/>
            <color indexed="81"/>
            <rFont val="Tahoma"/>
            <family val="2"/>
          </rPr>
          <t>Source: Presentation</t>
        </r>
      </text>
    </comment>
    <comment ref="C27" authorId="0" shapeId="0" xr:uid="{00000000-0006-0000-0B00-00000A000000}">
      <text>
        <r>
          <rPr>
            <sz val="8"/>
            <color indexed="81"/>
            <rFont val="Tahoma"/>
            <family val="2"/>
          </rPr>
          <t>Source: Sept Lenders Presentation</t>
        </r>
      </text>
    </comment>
    <comment ref="C39" authorId="0" shapeId="0" xr:uid="{00000000-0006-0000-0B00-00000B000000}">
      <text>
        <r>
          <rPr>
            <sz val="8"/>
            <color indexed="81"/>
            <rFont val="Tahoma"/>
            <family val="2"/>
          </rPr>
          <t>Source: Sept Lenders Presentation</t>
        </r>
      </text>
    </comment>
    <comment ref="E39" authorId="0" shapeId="0" xr:uid="{00000000-0006-0000-0B00-00000C000000}">
      <text>
        <r>
          <rPr>
            <sz val="8"/>
            <color indexed="81"/>
            <rFont val="Tahoma"/>
            <family val="2"/>
          </rPr>
          <t>PF</t>
        </r>
      </text>
    </comment>
    <comment ref="F39" authorId="0" shapeId="0" xr:uid="{00000000-0006-0000-0B00-00000D000000}">
      <text>
        <r>
          <rPr>
            <sz val="8"/>
            <color indexed="81"/>
            <rFont val="Tahoma"/>
            <family val="2"/>
          </rPr>
          <t>PF</t>
        </r>
      </text>
    </comment>
    <comment ref="C40" authorId="0" shapeId="0" xr:uid="{00000000-0006-0000-0B00-00000E000000}">
      <text>
        <r>
          <rPr>
            <sz val="8"/>
            <color indexed="81"/>
            <rFont val="Tahoma"/>
            <family val="2"/>
          </rPr>
          <t>Source: Sept Lenders Presentation</t>
        </r>
      </text>
    </comment>
    <comment ref="E40" authorId="0" shapeId="0" xr:uid="{00000000-0006-0000-0B00-00000F000000}">
      <text>
        <r>
          <rPr>
            <sz val="8"/>
            <color indexed="81"/>
            <rFont val="Tahoma"/>
            <family val="2"/>
          </rPr>
          <t>PF</t>
        </r>
      </text>
    </comment>
    <comment ref="F40" authorId="0" shapeId="0" xr:uid="{00000000-0006-0000-0B00-000010000000}">
      <text>
        <r>
          <rPr>
            <sz val="8"/>
            <color indexed="81"/>
            <rFont val="Tahoma"/>
            <family val="2"/>
          </rPr>
          <t>PF</t>
        </r>
      </text>
    </comment>
    <comment ref="C41" authorId="0" shapeId="0" xr:uid="{00000000-0006-0000-0B00-000011000000}">
      <text>
        <r>
          <rPr>
            <sz val="8"/>
            <color indexed="81"/>
            <rFont val="Tahoma"/>
            <family val="2"/>
          </rPr>
          <t>Source: Sept Lenders Presentation</t>
        </r>
      </text>
    </comment>
    <comment ref="E41" authorId="0" shapeId="0" xr:uid="{00000000-0006-0000-0B00-000012000000}">
      <text>
        <r>
          <rPr>
            <sz val="8"/>
            <color indexed="81"/>
            <rFont val="Tahoma"/>
            <family val="2"/>
          </rPr>
          <t>PF</t>
        </r>
      </text>
    </comment>
    <comment ref="F41" authorId="0" shapeId="0" xr:uid="{00000000-0006-0000-0B00-000013000000}">
      <text>
        <r>
          <rPr>
            <sz val="8"/>
            <color indexed="81"/>
            <rFont val="Tahoma"/>
            <family val="2"/>
          </rPr>
          <t>PF</t>
        </r>
      </text>
    </comment>
    <comment ref="C42" authorId="0" shapeId="0" xr:uid="{00000000-0006-0000-0B00-000014000000}">
      <text>
        <r>
          <rPr>
            <sz val="8"/>
            <color indexed="81"/>
            <rFont val="Tahoma"/>
            <family val="2"/>
          </rPr>
          <t>Source: Sept Lenders Presentation</t>
        </r>
      </text>
    </comment>
    <comment ref="E42" authorId="0" shapeId="0" xr:uid="{00000000-0006-0000-0B00-000015000000}">
      <text>
        <r>
          <rPr>
            <sz val="8"/>
            <color indexed="81"/>
            <rFont val="Tahoma"/>
            <family val="2"/>
          </rPr>
          <t>PF</t>
        </r>
      </text>
    </comment>
    <comment ref="F42" authorId="0" shapeId="0" xr:uid="{00000000-0006-0000-0B00-000016000000}">
      <text>
        <r>
          <rPr>
            <sz val="8"/>
            <color indexed="81"/>
            <rFont val="Tahoma"/>
            <family val="2"/>
          </rPr>
          <t>PF</t>
        </r>
      </text>
    </comment>
    <comment ref="C44" authorId="0" shapeId="0" xr:uid="{00000000-0006-0000-0B00-000017000000}">
      <text>
        <r>
          <rPr>
            <sz val="8"/>
            <color indexed="81"/>
            <rFont val="Tahoma"/>
            <family val="2"/>
          </rPr>
          <t>Source: Sept Lenders Presentation</t>
        </r>
      </text>
    </comment>
    <comment ref="E44" authorId="0" shapeId="0" xr:uid="{00000000-0006-0000-0B00-000018000000}">
      <text>
        <r>
          <rPr>
            <sz val="8"/>
            <color indexed="81"/>
            <rFont val="Tahoma"/>
            <family val="2"/>
          </rPr>
          <t>PF</t>
        </r>
      </text>
    </comment>
    <comment ref="F44" authorId="0" shapeId="0" xr:uid="{00000000-0006-0000-0B00-000019000000}">
      <text>
        <r>
          <rPr>
            <sz val="8"/>
            <color indexed="81"/>
            <rFont val="Tahoma"/>
            <family val="2"/>
          </rPr>
          <t>PF</t>
        </r>
      </text>
    </comment>
    <comment ref="E46" authorId="0" shapeId="0" xr:uid="{00000000-0006-0000-0B00-00001A000000}">
      <text>
        <r>
          <rPr>
            <sz val="8"/>
            <color indexed="81"/>
            <rFont val="Tahoma"/>
            <family val="2"/>
          </rPr>
          <t>PF</t>
        </r>
      </text>
    </comment>
    <comment ref="F46" authorId="0" shapeId="0" xr:uid="{00000000-0006-0000-0B00-00001B000000}">
      <text>
        <r>
          <rPr>
            <sz val="8"/>
            <color indexed="81"/>
            <rFont val="Tahoma"/>
            <family val="2"/>
          </rPr>
          <t>PF</t>
        </r>
      </text>
    </comment>
    <comment ref="E47" authorId="0" shapeId="0" xr:uid="{00000000-0006-0000-0B00-00001C000000}">
      <text>
        <r>
          <rPr>
            <sz val="8"/>
            <color indexed="81"/>
            <rFont val="Tahoma"/>
            <family val="2"/>
          </rPr>
          <t>PF</t>
        </r>
      </text>
    </comment>
    <comment ref="F47" authorId="0" shapeId="0" xr:uid="{00000000-0006-0000-0B00-00001D000000}">
      <text>
        <r>
          <rPr>
            <sz val="8"/>
            <color indexed="81"/>
            <rFont val="Tahoma"/>
            <family val="2"/>
          </rPr>
          <t>PF</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A22" authorId="0" shapeId="0" xr:uid="{00000000-0006-0000-0C00-000001000000}">
      <text>
        <r>
          <rPr>
            <sz val="8"/>
            <color indexed="81"/>
            <rFont val="Tahoma"/>
            <family val="2"/>
          </rPr>
          <t>Restated for 9/17, 6/17, 3/17</t>
        </r>
      </text>
    </comment>
    <comment ref="A42" authorId="0" shapeId="0" xr:uid="{00000000-0006-0000-0C00-000002000000}">
      <text>
        <r>
          <rPr>
            <sz val="8"/>
            <color indexed="81"/>
            <rFont val="Tahoma"/>
            <family val="2"/>
          </rPr>
          <t>Source: York Model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Parikshit Marathe</author>
  </authors>
  <commentList>
    <comment ref="R48" authorId="0" shapeId="0" xr:uid="{00000000-0006-0000-0F00-000001000000}">
      <text>
        <r>
          <rPr>
            <sz val="8"/>
            <color indexed="81"/>
            <rFont val="Tahoma"/>
            <family val="2"/>
          </rPr>
          <t xml:space="preserve">EBITDA 
Less PF Cash interest
Less Capex
Source: Lender Presentation 2017-07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Deepak Rawat</author>
  </authors>
  <commentList>
    <comment ref="K12" authorId="0" shapeId="0" xr:uid="{00000000-0006-0000-1000-000005000000}">
      <text>
        <r>
          <rPr>
            <sz val="8"/>
            <color indexed="81"/>
            <rFont val="Tahoma"/>
            <family val="2"/>
          </rPr>
          <t>PF</t>
        </r>
      </text>
    </comment>
    <comment ref="L12" authorId="0" shapeId="0" xr:uid="{00000000-0006-0000-1000-000006000000}">
      <text>
        <r>
          <rPr>
            <sz val="8"/>
            <color indexed="81"/>
            <rFont val="Tahoma"/>
            <family val="2"/>
          </rPr>
          <t>PF</t>
        </r>
      </text>
    </comment>
    <comment ref="M12" authorId="0" shapeId="0" xr:uid="{00000000-0006-0000-1000-000007000000}">
      <text>
        <r>
          <rPr>
            <sz val="8"/>
            <color indexed="81"/>
            <rFont val="Tahoma"/>
            <family val="2"/>
          </rPr>
          <t>PF</t>
        </r>
      </text>
    </comment>
    <comment ref="N12" authorId="0" shapeId="0" xr:uid="{00000000-0006-0000-1000-000008000000}">
      <text>
        <r>
          <rPr>
            <sz val="8"/>
            <color indexed="81"/>
            <rFont val="Tahoma"/>
            <family val="2"/>
          </rPr>
          <t>PF</t>
        </r>
      </text>
    </comment>
    <comment ref="K16" authorId="0" shapeId="0" xr:uid="{00000000-0006-0000-1000-00000D000000}">
      <text>
        <r>
          <rPr>
            <sz val="8"/>
            <color indexed="81"/>
            <rFont val="Tahoma"/>
            <family val="2"/>
          </rPr>
          <t>PF</t>
        </r>
      </text>
    </comment>
    <comment ref="L16" authorId="0" shapeId="0" xr:uid="{00000000-0006-0000-1000-00000E000000}">
      <text>
        <r>
          <rPr>
            <sz val="8"/>
            <color indexed="81"/>
            <rFont val="Tahoma"/>
            <family val="2"/>
          </rPr>
          <t>PF</t>
        </r>
      </text>
    </comment>
    <comment ref="M16" authorId="0" shapeId="0" xr:uid="{00000000-0006-0000-1000-00000F000000}">
      <text>
        <r>
          <rPr>
            <sz val="8"/>
            <color indexed="81"/>
            <rFont val="Tahoma"/>
            <family val="2"/>
          </rPr>
          <t>PF</t>
        </r>
      </text>
    </comment>
    <comment ref="N16" authorId="0" shapeId="0" xr:uid="{00000000-0006-0000-1000-000010000000}">
      <text>
        <r>
          <rPr>
            <sz val="8"/>
            <color indexed="81"/>
            <rFont val="Tahoma"/>
            <family val="2"/>
          </rPr>
          <t>PF</t>
        </r>
      </text>
    </comment>
    <comment ref="H40" authorId="0" shapeId="0" xr:uid="{00000000-0006-0000-1000-000011000000}">
      <text>
        <r>
          <rPr>
            <sz val="8"/>
            <color indexed="81"/>
            <rFont val="Tahoma"/>
            <family val="2"/>
          </rPr>
          <t>SYM</t>
        </r>
      </text>
    </comment>
    <comment ref="I40" authorId="0" shapeId="0" xr:uid="{00000000-0006-0000-1000-000012000000}">
      <text>
        <r>
          <rPr>
            <sz val="8"/>
            <color indexed="81"/>
            <rFont val="Tahoma"/>
            <family val="2"/>
          </rPr>
          <t>SYM</t>
        </r>
      </text>
    </comment>
    <comment ref="J40" authorId="0" shapeId="0" xr:uid="{00000000-0006-0000-1000-000013000000}">
      <text>
        <r>
          <rPr>
            <sz val="8"/>
            <color indexed="81"/>
            <rFont val="Tahoma"/>
            <family val="2"/>
          </rPr>
          <t>SYM</t>
        </r>
      </text>
    </comment>
    <comment ref="K40" authorId="0" shapeId="0" xr:uid="{00000000-0006-0000-1000-000014000000}">
      <text>
        <r>
          <rPr>
            <sz val="8"/>
            <color indexed="81"/>
            <rFont val="Tahoma"/>
            <family val="2"/>
          </rPr>
          <t>Net Debt from Presentation + Cash</t>
        </r>
      </text>
    </comment>
    <comment ref="L40" authorId="0" shapeId="0" xr:uid="{00000000-0006-0000-1000-000015000000}">
      <text>
        <r>
          <rPr>
            <sz val="8"/>
            <color indexed="81"/>
            <rFont val="Tahoma"/>
            <family val="2"/>
          </rPr>
          <t>Balance Sheet</t>
        </r>
      </text>
    </comment>
  </commentList>
</comments>
</file>

<file path=xl/sharedStrings.xml><?xml version="1.0" encoding="utf-8"?>
<sst xmlns="http://schemas.openxmlformats.org/spreadsheetml/2006/main" count="8164" uniqueCount="707">
  <si>
    <t>Comments</t>
  </si>
  <si>
    <t>Enterprise Value</t>
  </si>
  <si>
    <t>Estimated Enterprise Value</t>
  </si>
  <si>
    <t>FCF / Debt</t>
  </si>
  <si>
    <t>Net Total Leverage</t>
  </si>
  <si>
    <t>Total Leverage</t>
  </si>
  <si>
    <t>Senior Leverage</t>
  </si>
  <si>
    <t>LTM FCF</t>
  </si>
  <si>
    <t>LTM EBITDA</t>
  </si>
  <si>
    <t xml:space="preserve">LTM Revenues </t>
  </si>
  <si>
    <t>Cash</t>
  </si>
  <si>
    <t>Equity Market Cap</t>
  </si>
  <si>
    <t>Total Debt</t>
  </si>
  <si>
    <t>First Lien Debt</t>
  </si>
  <si>
    <t>ABL/RCF</t>
  </si>
  <si>
    <t>FCF</t>
  </si>
  <si>
    <t>Capital Expenditures</t>
  </si>
  <si>
    <t>OCF</t>
  </si>
  <si>
    <t>Other</t>
  </si>
  <si>
    <t>Restructuring/One-Time</t>
  </si>
  <si>
    <t>Working Capital</t>
  </si>
  <si>
    <t>Cash Taxes</t>
  </si>
  <si>
    <t>Interest</t>
  </si>
  <si>
    <t>PF EBITDA</t>
  </si>
  <si>
    <t>Covenant EBITDA</t>
  </si>
  <si>
    <t>PF Acquisition Adjustment</t>
  </si>
  <si>
    <t>PF Cost Saves</t>
  </si>
  <si>
    <t>LTM PF EBITDA</t>
  </si>
  <si>
    <t>Restructuring &amp; Integration</t>
  </si>
  <si>
    <t>Transaction Expenses</t>
  </si>
  <si>
    <t xml:space="preserve">  Margin</t>
  </si>
  <si>
    <t>Cash EBITDA</t>
  </si>
  <si>
    <t>-</t>
  </si>
  <si>
    <t xml:space="preserve">  Organic Growth</t>
  </si>
  <si>
    <t xml:space="preserve">  YoY Growth</t>
  </si>
  <si>
    <t>Revenues</t>
  </si>
  <si>
    <t>Quarter Ended</t>
  </si>
  <si>
    <t>Agent Bank</t>
  </si>
  <si>
    <t>Credit Score</t>
  </si>
  <si>
    <t>HF Analyst</t>
  </si>
  <si>
    <t>Michael Sorna</t>
  </si>
  <si>
    <t>CLO Analyst</t>
  </si>
  <si>
    <t>On April 11, 2017 Conyers Park Acquisition Corp entered into an agreement with Atkins Nutritionals, Inc. to combine under a new holding company, The Simply Good Foods Company.</t>
  </si>
  <si>
    <t>Business Description</t>
  </si>
  <si>
    <t>Atkins Nutritional</t>
  </si>
  <si>
    <t>Issuer Name</t>
  </si>
  <si>
    <t>B2</t>
  </si>
  <si>
    <t>B6</t>
  </si>
  <si>
    <t>B7</t>
  </si>
  <si>
    <t>B4</t>
  </si>
  <si>
    <t>LTM Date</t>
  </si>
  <si>
    <t>Issuer</t>
  </si>
  <si>
    <t>Tab Name</t>
  </si>
  <si>
    <t>Issuer Name (Cell B2)</t>
  </si>
  <si>
    <t>Data Site</t>
  </si>
  <si>
    <t>S&amp;P Industry</t>
  </si>
  <si>
    <t>Moody Industry</t>
  </si>
  <si>
    <t>SyndTrak</t>
  </si>
  <si>
    <t>Hotels, Restaurants and Leisure</t>
  </si>
  <si>
    <t>Hotel, Gaming &amp; Leisure</t>
  </si>
  <si>
    <t>Done</t>
  </si>
  <si>
    <t>Intralinks</t>
  </si>
  <si>
    <t>Healthcare Providers and Services</t>
  </si>
  <si>
    <t>Healthcare &amp; Pharmaceuticals</t>
  </si>
  <si>
    <t>Food products</t>
  </si>
  <si>
    <t>Beverage, Food &amp; Tobacco</t>
  </si>
  <si>
    <t>DebtDomain</t>
  </si>
  <si>
    <t>Automobiles</t>
  </si>
  <si>
    <t>Burger King</t>
  </si>
  <si>
    <t>QSR</t>
  </si>
  <si>
    <t>Carlisle FoodService</t>
  </si>
  <si>
    <t>Food service</t>
  </si>
  <si>
    <t>Consumer goods: Durable</t>
  </si>
  <si>
    <t>Constellation Brands</t>
  </si>
  <si>
    <t>Beverages</t>
  </si>
  <si>
    <t>Professional Services</t>
  </si>
  <si>
    <t>Services: Business</t>
  </si>
  <si>
    <t>Eyemart Express</t>
  </si>
  <si>
    <t>Specialty Retail</t>
  </si>
  <si>
    <t>Retail</t>
  </si>
  <si>
    <t>Fluidra</t>
  </si>
  <si>
    <t>Public</t>
  </si>
  <si>
    <t>Leisure Products</t>
  </si>
  <si>
    <t>NA</t>
  </si>
  <si>
    <t>Hostess Brands</t>
  </si>
  <si>
    <t>TWNK / SyndTrak</t>
  </si>
  <si>
    <t>Jacobs Douwe Egberts</t>
  </si>
  <si>
    <t>NPC International</t>
  </si>
  <si>
    <t>Packers Holdings</t>
  </si>
  <si>
    <t>Commercial Services and Supplies</t>
  </si>
  <si>
    <t>SMG</t>
  </si>
  <si>
    <t>TKC Holdings</t>
  </si>
  <si>
    <t>Weight Watchers</t>
  </si>
  <si>
    <t>WTW / Intralinks</t>
  </si>
  <si>
    <t>Services: Consumer</t>
  </si>
  <si>
    <t>WorldStrides</t>
  </si>
  <si>
    <t>YUM / Intralinks</t>
  </si>
  <si>
    <t>CH Guenther &amp; Son</t>
  </si>
  <si>
    <t>Food Products</t>
  </si>
  <si>
    <t>Mastronardi Produce</t>
  </si>
  <si>
    <t>Bay Club</t>
  </si>
  <si>
    <t>Diversified Consumer Services</t>
  </si>
  <si>
    <t>Veritext Legal Solutions</t>
  </si>
  <si>
    <t>Operates under a mostly franchised restaurant model</t>
  </si>
  <si>
    <t>Source: York Model</t>
  </si>
  <si>
    <t>Designs and manufactures foodservice and janitorial/sanitation equipment for commercial application. It operates in three segments: 1) Foodservice (61% of revenue); 2) Health care (22% of revenue); and 3) Janitorial/Sanitation (17% of revenue).</t>
  </si>
  <si>
    <t>LTM Rev, LTM EBITDA as of 2/28/2017. Debt as of 5/31/2017.</t>
  </si>
  <si>
    <t>LTM Rev as of 2/28/2017. Debt and , LTM EBITDA as of 8/31/2017.</t>
  </si>
  <si>
    <t>LTM Rev as of 2/28/2017. Debt and , LTM EBITDA as of 11/30/2017.</t>
  </si>
  <si>
    <t>Constellation Brands Canada is the largest player in Canada's wine market. The company owns or distributes a portfolio of wine brands, including 7 of the top 20 brands in the Canadian market</t>
  </si>
  <si>
    <t>CAD</t>
  </si>
  <si>
    <t>Second-largest value-focused optical retailer in the USA, with 175 stores in 35 states</t>
  </si>
  <si>
    <t>LTM PF numbers
Source: York Model</t>
  </si>
  <si>
    <t>Fluidra, PF for the merger with Zodiaz Pools, will become the global leader in pool equipment and solutions. The company will have a global footprint stretching across 46 countries in Europe, N. America, Australia, Asia, S. America and Africa, with the US representing its largest addressable market, and will employ a total of 5.5K dedicated pool industry professionals across the world.</t>
  </si>
  <si>
    <t>#2 sweet baked goods company (behind McKee Foods) in the US; brands that include Twinkies, Cup Cakes, Ding Dongs, Zingers, Donettes</t>
  </si>
  <si>
    <t>LTM PF Nos.
Source: York Model</t>
  </si>
  <si>
    <t>Second-largest global coffee company (behind Nestle), manufactures and sells coffee and tea products in retail and out-of-home markets in more than 80 countries</t>
  </si>
  <si>
    <t>EUR</t>
  </si>
  <si>
    <t>LTM PF nos ( acquisiton of 202 Wendy's units)
Source: York Model</t>
  </si>
  <si>
    <t>Fifth largest restaurant operator in the United States</t>
  </si>
  <si>
    <t xml:space="preserve">Leading provider of outsourced cleaning and sanitation services to the food processing market. </t>
  </si>
  <si>
    <t>PF Marketed LTM financials and Cap structure
Source: York Model</t>
  </si>
  <si>
    <t>Jefferies</t>
  </si>
  <si>
    <t>SMG Holdings is the world's largest venue management company, providing a full range of venue management and food &amp; beverage services to a diverse portfolio of 239 venues globally.</t>
  </si>
  <si>
    <t>PF RR Adj. EBITDA
Source: York Model</t>
  </si>
  <si>
    <t>TKC is a provider of commissary service, commissary supply, food service and related products to the US correctional industry.</t>
  </si>
  <si>
    <t>Weight Watchers runs a subscription weight loss service.</t>
  </si>
  <si>
    <t>PF Cap structure (incl Delayed draw)
Source: York Model</t>
  </si>
  <si>
    <t>WorldStrides is a diversified educational student travel and study abroad program provider, offering experiential education trips for elementary, middle, and high school students, as well as undergraduate and graduate students at the university level to various destinations in the US and internationally.</t>
  </si>
  <si>
    <t>Owner of KFC/Pizza Hut/Taco Bell</t>
  </si>
  <si>
    <t>PF as of 12/31/2017
Source: York Model</t>
  </si>
  <si>
    <t>CH Guenther is a global manufacturer and distributor of grain-based and seasoning products such as seasonings/sauces, breads, buns, rolls, biscuits, frozen foods, pizza mixes/doughs, etc.</t>
  </si>
  <si>
    <t>Mastronardi Produce is a fresh produce grower and distributor that specializes in non-GMO, greenhouse-grown tomatoes (60% of revenue), peppers (24%) and cucumbers (15%).</t>
  </si>
  <si>
    <t>PF Nos
Source: York Model</t>
  </si>
  <si>
    <t>A leading membership-based active lifestyle hospitality Company that operates 22 clubs organized across 7 campuses in California.</t>
  </si>
  <si>
    <t>Largest provider of civil deposition + litigation support sevices for law firms and corporations across the US, administering over 163K depositions per year.</t>
  </si>
  <si>
    <t>PF cap structure post repricing</t>
  </si>
  <si>
    <t>Largest RV dealership co in US with 83 dealerships &amp; 100 retail stores; substantial EBITDA from its stable Membership Business</t>
  </si>
  <si>
    <t>Camping World</t>
  </si>
  <si>
    <t>CWH</t>
  </si>
  <si>
    <t>PF LTM nos. Source: Lender Presentation Jan-2018</t>
  </si>
  <si>
    <t>Note: Figures in GBP</t>
  </si>
  <si>
    <t>ICWG is the largest independent conveyor car wash company, with locations across the US, Europe and Asia-Pacific</t>
  </si>
  <si>
    <t>International Car Wash Group</t>
  </si>
  <si>
    <t>Figures in GBP</t>
  </si>
  <si>
    <t>Provider of sports, cheerleading &amp; achievement related products to schools in the US</t>
  </si>
  <si>
    <t>Varsity Brands</t>
  </si>
  <si>
    <t>PF LTM numbers as of 2/28/2018</t>
  </si>
  <si>
    <t>Pelican Products designs and manufactures high-performance protective cases, temperature-controlled packaging solutions, portable lighting systems, and gear for outdoor enthusiasts.</t>
  </si>
  <si>
    <t>Pelican Products</t>
  </si>
  <si>
    <t>Containers &amp; Packaging</t>
  </si>
  <si>
    <t>1-800 is the largest direct-to-consumer retailer of contact lenses in the United States, and currently has ~10% share of the contact lens market and ~56% share of the online contact lens market with ~4x the revenue of the next largest competitor.</t>
  </si>
  <si>
    <t>1-800 Contacts</t>
  </si>
  <si>
    <t>Food Service</t>
  </si>
  <si>
    <t>Adj. PF LTM nos
Source: York Model</t>
  </si>
  <si>
    <t>Designer, manufacturer and distributor of greeting cards, as well as gift packaging, party goods and stationary products.</t>
  </si>
  <si>
    <t>American Greetings</t>
  </si>
  <si>
    <t>Barclays Bank</t>
  </si>
  <si>
    <t>Arby's Restaurant Group</t>
  </si>
  <si>
    <t>PF for CAB acquisition
Source: York Model</t>
  </si>
  <si>
    <t>CAB</t>
  </si>
  <si>
    <t>Bass Pro</t>
  </si>
  <si>
    <t>Retailer of outdoor sports and recreation products with 92 stores across 35 states and Canada.</t>
  </si>
  <si>
    <t>Bass Pro Group</t>
  </si>
  <si>
    <t>PF LTM nos
Source: York Model</t>
  </si>
  <si>
    <t>Source: Lender Presentation</t>
  </si>
  <si>
    <t xml:space="preserve">Boardriders (Quicksilver) is acquiring Billabong (ASX: BBG) in a transaction valued at A$300M, or 7.4x LTM 6/30/2017 stand-alone EBITDA of A$51m. The combined company will include the brands Quicksilver, Billabong, Roxy, DC, RVCA, Element, VonZipper, and Xcel. They will have sales to over 7,000 wholesale customers in more than 110 countries, owned e-commerce capabilities in 35 countries, and 630 retail stores in 28 countries. </t>
  </si>
  <si>
    <t>Boardriders</t>
  </si>
  <si>
    <t>Intralinks / SyndTrak</t>
  </si>
  <si>
    <t>Consumer goods: Non-durable</t>
  </si>
  <si>
    <t>Live entertainment media company with partner-hosted Resident venues (such as Las Vegas casinos) and touring shows</t>
  </si>
  <si>
    <t>Cirque du Soleil</t>
  </si>
  <si>
    <t>Leverage calculated on the basis of 2018 Budget</t>
  </si>
  <si>
    <t>Morgan Stan Sr</t>
  </si>
  <si>
    <t>CSM is a B2B distributor of bakery ingredients, semi-finished and finished products, with leading market positions in Europe and North America, and a growing presence in emerging markets</t>
  </si>
  <si>
    <t>CSM Bakery</t>
  </si>
  <si>
    <t xml:space="preserve">Leading producer of meat products in US. Owns 75% of pilgrims pride. </t>
  </si>
  <si>
    <t>North American manufacturer of consumer packaged goods</t>
  </si>
  <si>
    <t>KIK Custom Products</t>
  </si>
  <si>
    <t>Deutsche Bank</t>
  </si>
  <si>
    <t>Operator of 114 high-end fitness clubs</t>
  </si>
  <si>
    <t>Life Time Fitness</t>
  </si>
  <si>
    <t>Investor relations site</t>
  </si>
  <si>
    <t>Personal Products</t>
  </si>
  <si>
    <t>PF LTM numbers and Cap structure as of 11/30/2017
Source: York Model</t>
  </si>
  <si>
    <t>MyEyeDr is a group of optometrist practices primarily located in strip malls and town centers.</t>
  </si>
  <si>
    <t>MyEyeDr</t>
  </si>
  <si>
    <t>PF Cap structure</t>
  </si>
  <si>
    <t xml:space="preserve">Navico is one of the leading players in recreational marine electronics, with a growing presence in the commercial and digital marine electronics market. </t>
  </si>
  <si>
    <t>Navico</t>
  </si>
  <si>
    <t>PF</t>
  </si>
  <si>
    <t>NBTY is an American manufacturer of vitamins and nutritional supplements which are distributed under many third party brands in the United States and internationally</t>
  </si>
  <si>
    <t>Marine</t>
  </si>
  <si>
    <t>Transportation: Consumer</t>
  </si>
  <si>
    <t>Pharmaceuticals</t>
  </si>
  <si>
    <t>Independent beer brewer in US; don't do any brewing - have contract with Miller Coors, act as more of a capital light marketing company</t>
  </si>
  <si>
    <t>Pabst Blue Ribbon</t>
  </si>
  <si>
    <t>North American designer, manufacturer, and marketer of a broad range of commercial playgroud, park, recreation and specialty equipment</t>
  </si>
  <si>
    <t>PlayCore</t>
  </si>
  <si>
    <t>Construction and Engineering</t>
  </si>
  <si>
    <t>Construction &amp; Building</t>
  </si>
  <si>
    <t>FY 2017</t>
  </si>
  <si>
    <t xml:space="preserve">Full service provider of security monitoring systems to 1.5MM customers </t>
  </si>
  <si>
    <t>Protection One</t>
  </si>
  <si>
    <t>ADT / SyndTrak</t>
  </si>
  <si>
    <t>PF
Source: York Model</t>
  </si>
  <si>
    <t xml:space="preserve">Merger of Trugeen and Scotts Lawnservice ("SLS") the #1 and #2 providers of residential lawncare </t>
  </si>
  <si>
    <t>TruGreen</t>
  </si>
  <si>
    <t>Management EBITDA for calculation</t>
  </si>
  <si>
    <t>Leading MMA fight promoter, and the number one pay-per-view event provider in the world with 13 events per year.</t>
  </si>
  <si>
    <t>PF Cap structure Source: York Model</t>
  </si>
  <si>
    <t>National wholesale distributor of foodservice equipment and supplies</t>
  </si>
  <si>
    <t>TriMark</t>
  </si>
  <si>
    <t>Wholesale</t>
  </si>
  <si>
    <t>PF LTM</t>
  </si>
  <si>
    <t>YTD</t>
  </si>
  <si>
    <t>PF-LTM</t>
  </si>
  <si>
    <t>Number one player in the mid-tier and premium residential lighting segments</t>
  </si>
  <si>
    <t>VC GB Holdings</t>
  </si>
  <si>
    <t>VC GB</t>
  </si>
  <si>
    <t>Household Products</t>
  </si>
  <si>
    <t>Source: Lender Prensentation, Feb-2018</t>
  </si>
  <si>
    <t>PF RR Adj. EBITDA</t>
  </si>
  <si>
    <t>Restaurant Technologies, Inc.</t>
  </si>
  <si>
    <t>Ecological services &amp; equipment</t>
  </si>
  <si>
    <t>Capital Equipment</t>
  </si>
  <si>
    <t>Leading U.S. provider of kitchen automation solutions to customers across the foodservice industry</t>
  </si>
  <si>
    <t>York PF LTM Nos
Source: York Model</t>
  </si>
  <si>
    <t>Chobani</t>
  </si>
  <si>
    <t>Packaged food company that manufactures and sells Greek yogurt and related products in the US and Australia, with recent entry into Mexico. Currently, 90% of revenues are from the US with 10% coming from international customers.</t>
  </si>
  <si>
    <t>Debt Structure sourced from York Model</t>
  </si>
  <si>
    <t>FCF calculation from York Model</t>
  </si>
  <si>
    <t>Hearthside is a contract manufacturer and packager of packaged food products. They provide outsourced manufacturing and packaging for snack bars, nutritional bars, brownies, cookies, crackers, granola, croutons, powdered beverages and other prepared foods.</t>
  </si>
  <si>
    <t>Goldman Sachs</t>
  </si>
  <si>
    <t>Hearthside Food Solutions</t>
  </si>
  <si>
    <t>Source: Company Financials</t>
  </si>
  <si>
    <t>Source: 10-Q</t>
  </si>
  <si>
    <t>Source: York Model &amp; Lenders Presentation</t>
  </si>
  <si>
    <t>Source: Presentation for Lenders</t>
  </si>
  <si>
    <t>12192018 - Updated September 2018</t>
  </si>
  <si>
    <t>12192018 - Updated September 2018 - Please check Pre-SAC adjustments</t>
  </si>
  <si>
    <t>PF RR Adj. EBITDA; FCF from York Model</t>
  </si>
  <si>
    <t>Pf Rev and EBITDA from Q3 2018 Presentation</t>
  </si>
  <si>
    <t>12202018 - Updated September 2018</t>
  </si>
  <si>
    <t>Debt and LTM nos PF for 4/30/18
Source: LP 5.16.2018</t>
  </si>
  <si>
    <t>PF Cap Structure and LTM nos sourced from 1Q19 LP</t>
  </si>
  <si>
    <t>PF Cap Structure and LTM nos for Envision Acquisition
Source: LP</t>
  </si>
  <si>
    <t>Jostens, Inc.</t>
  </si>
  <si>
    <t xml:space="preserve">The company has 3 segments: Scholastic (43% of Revenues) a manufacturer + provider of class jewelry, grad products, regalia, diplomas, diploma covers, jackets and others; Yearbook (41% of Revenues), manufactuer and provider of yearbooks to high schools, middle schools and elementary schools; and College, Pro + Other (16% of revenue); a manufacturer and provider of college class jewelry and graduation products, and a provider of championship rings to professional/college sports leagues. </t>
  </si>
  <si>
    <t>Source: Company Financials and Lenders Presentation</t>
  </si>
  <si>
    <t>November 28, 2018 Refinancing</t>
  </si>
  <si>
    <t>Estimated Sources and Uses of Funds ($MM)</t>
  </si>
  <si>
    <t>Sources</t>
  </si>
  <si>
    <t>Amount</t>
  </si>
  <si>
    <t>Uses</t>
  </si>
  <si>
    <t>Series 2018-1 Class A-2-I Notes</t>
  </si>
  <si>
    <t>Series 2016-1 Class A-2-I Notes</t>
  </si>
  <si>
    <t>Series 2018-1 Class A-2-II Notes</t>
  </si>
  <si>
    <t>Repay Revolver</t>
  </si>
  <si>
    <t>Cash to B/S (Plug)</t>
  </si>
  <si>
    <t>Source: Lenders Presentation</t>
  </si>
  <si>
    <t xml:space="preserve">01162019 - Updated Sept 2018 </t>
  </si>
  <si>
    <t>Hotels, Restaurants &amp; Leisure</t>
  </si>
  <si>
    <t xml:space="preserve">Aimbridge is the #1 third party operator of hotels + resorts (with a 10% market share) in the US. The company typically manages mid to higher end hotels on behalf of property owners (REITs, PE, independent owners, etc.). </t>
  </si>
  <si>
    <t>Source: Lenders Presentation (Feb 18)</t>
  </si>
  <si>
    <t>LTM Debt Assumed to be the same due to lack of information</t>
  </si>
  <si>
    <t>All figures in €
Source: Company Presentation</t>
  </si>
  <si>
    <t>https://www.fluidra.com/en/regulatory-filings/</t>
  </si>
  <si>
    <t>TopGolf International</t>
  </si>
  <si>
    <t>TopGolf is a sports entertainment company which combines the sport of golf with technology to provide a golf entertainment experience through a number of means: Venues (94% of revenue), Media (4% of revenue), Swing Suite &amp; TopTracer (&lt;1% Revenue Each) and  International (&lt;1% Revenue).</t>
  </si>
  <si>
    <t>Q. Mail?</t>
  </si>
  <si>
    <t>Uploaded on</t>
  </si>
  <si>
    <t>Updated on</t>
  </si>
  <si>
    <t>External Links</t>
  </si>
  <si>
    <t>No Exposure</t>
  </si>
  <si>
    <t>N</t>
  </si>
  <si>
    <t>Belfor Holdings</t>
  </si>
  <si>
    <t>Commercial Services &amp; Supplies</t>
  </si>
  <si>
    <t xml:space="preserve">The company is a provider of damage recovery and restoration services to insurance companies and industrial, commercial, and residential customers. Examples of the company's services are: Safety Inspection/Evaluation, Smoke Damage Removal, Water Damage Dehumidification + Drying, Mold Removal, Air Duct Cleaning and other General Reconstructive Restoration services. </t>
  </si>
  <si>
    <t>Source: 10-K</t>
  </si>
  <si>
    <t>Updated December 2018 from 10-K</t>
  </si>
  <si>
    <t>Sponsor</t>
  </si>
  <si>
    <t>B8</t>
  </si>
  <si>
    <t>B10</t>
  </si>
  <si>
    <t>AEA Investors</t>
  </si>
  <si>
    <t>American Securities</t>
  </si>
  <si>
    <t>WestRiver Group, Providence Equity, Dundon Capital, Callaway Golf, GP Brinson, Fidelity Research and Other</t>
  </si>
  <si>
    <t>Advent International</t>
  </si>
  <si>
    <t>Platinum Equity</t>
  </si>
  <si>
    <t>Charlesbank/Partners Group</t>
  </si>
  <si>
    <t>Family (Founder:  Hamdi Ulukaya)</t>
  </si>
  <si>
    <t>Goldman Sachs Merchant Banking</t>
  </si>
  <si>
    <t>Eurazeo Capital (90%) and Primavera Capital Group (10%)</t>
  </si>
  <si>
    <t>Leonard Green &amp; Partners LP</t>
  </si>
  <si>
    <t>Charlesbank Capital Partners &amp; Partners Group</t>
  </si>
  <si>
    <t>WME IMG, Silver Lake and KKR</t>
  </si>
  <si>
    <t>CD&amp;R and SMG</t>
  </si>
  <si>
    <t>Centerbridge</t>
  </si>
  <si>
    <t>HIG</t>
  </si>
  <si>
    <t>Onex Partners</t>
  </si>
  <si>
    <t>Court Square Capital</t>
  </si>
  <si>
    <t>Behrman Capital</t>
  </si>
  <si>
    <t>Leonard Green</t>
  </si>
  <si>
    <t>Great American Brewing Company and TSG Investments</t>
  </si>
  <si>
    <t>KKR and Carlyle</t>
  </si>
  <si>
    <t>Altor Fund IV and GS Merchant bank</t>
  </si>
  <si>
    <t>Altas Partners (ex Onex partner) and Caisse de dépôt et placement du Québec</t>
  </si>
  <si>
    <t>MetalMark Capital/Mastronardi Family</t>
  </si>
  <si>
    <t>Leonard Green and TPG</t>
  </si>
  <si>
    <t>J&amp;F Investimentos S.A. and Formosa</t>
  </si>
  <si>
    <t>JV between JAB Holdings and Mondelez Foods</t>
  </si>
  <si>
    <t>Roark Capital Group</t>
  </si>
  <si>
    <t>Public (ticker: TWNK)</t>
  </si>
  <si>
    <t>Public (FDR.MC)</t>
  </si>
  <si>
    <t>FFL Partners</t>
  </si>
  <si>
    <t>Rhone Capital</t>
  </si>
  <si>
    <t>OTPP</t>
  </si>
  <si>
    <t>PPC Partners</t>
  </si>
  <si>
    <t>Public: CWH / Crestview Partners (minority own)</t>
  </si>
  <si>
    <t>Public (ticker: QSR) / 3G Capital (controlling interest)</t>
  </si>
  <si>
    <t>Oaktree Capital Management</t>
  </si>
  <si>
    <t>KKR</t>
  </si>
  <si>
    <t>Family (Founder: John Morris)</t>
  </si>
  <si>
    <t>Public (SMPL)</t>
  </si>
  <si>
    <t>CD&amp;R</t>
  </si>
  <si>
    <t>Equinox</t>
  </si>
  <si>
    <t>Equinox is an operator of upscale fitness clubs and spas with 98 clubs (and 2 Pure Yoga studios). The company primarily targets a high-end demographic. The company's revenue split is: Membership Fees (66%); Personal Training (25%); and Other Revenues, which includes in retail, spa and pilates revenue for the remaining 10%.</t>
  </si>
  <si>
    <t>PF Cap Structure
Source: York Model</t>
  </si>
  <si>
    <t>Public  (WTW)</t>
  </si>
  <si>
    <t>Tivity Health</t>
  </si>
  <si>
    <t>TVTY</t>
  </si>
  <si>
    <t>Health Care Providers &amp; Services</t>
  </si>
  <si>
    <t>Publicly Traded: TVTY</t>
  </si>
  <si>
    <t>Tivity Health (45% of PF revenues) is a provider of fitness programs to customers through its SilverSneakers and Prime offerings. SilverSneakers is offered to senior citizens in Medicare Advantage plans that have contracts with Tivity, who then enroll in SilverSneakers.</t>
  </si>
  <si>
    <t>PF Cap Structure 
Source: York Model</t>
  </si>
  <si>
    <t>Updated December 2018 from Company Financials</t>
  </si>
  <si>
    <t>Aimbridge Hospitality</t>
  </si>
  <si>
    <t>Updated December 2018 from Company Financials / SYM</t>
  </si>
  <si>
    <t>Related Capital, Leonard Green,  and Management.</t>
  </si>
  <si>
    <t>Source: Q4 Presentation
LTM Debt is taken from October LP</t>
  </si>
  <si>
    <t>Source: Company Financials &amp; LP</t>
  </si>
  <si>
    <t xml:space="preserve">PF Nos
Source: August 2018 Lenders Presentation </t>
  </si>
  <si>
    <t xml:space="preserve">PF Nos
Source: February 19 Lenders Presentation </t>
  </si>
  <si>
    <t>LTM no's are PF from Feb 19 Presentation</t>
  </si>
  <si>
    <t>Source: Company financials and compliance certificate</t>
  </si>
  <si>
    <t>Source: Company Financials and March 19 LP</t>
  </si>
  <si>
    <t>Servpro</t>
  </si>
  <si>
    <t xml:space="preserve">The company is a franchisor of ~1,700 damage recovery and restoration service providers. End customers are commercial, and residential property owners. Examples of SERVPRO's services are: Safety Inspection/Evaluation, Smoke Damage Removal, Water Damage Dehumidification + Drying, Mold Removal, and Reconstructive Restoration services. </t>
  </si>
  <si>
    <t>Blackstone</t>
  </si>
  <si>
    <t>Textiles, Apparel &amp; Luxury Goods</t>
  </si>
  <si>
    <t>Anastasia Beverly Hills is a marketer and seller of prestige color cosmetics largely in the U.S. The company's product lines focus on the following costmetic categories: Eyebrow (36%), Face (22%), Eye (22%), Lips (13%) and Other (3%) related products.</t>
  </si>
  <si>
    <t>TPG (38%) and Soare Family (Founder - 62%)</t>
  </si>
  <si>
    <t>JBS USA</t>
  </si>
  <si>
    <t>Anastasia Skin Care</t>
  </si>
  <si>
    <t>Source: Company Financials and LP</t>
  </si>
  <si>
    <t>Mister Car Wash</t>
  </si>
  <si>
    <t xml:space="preserve">Mister Car Wash is the largest owner and operator of car washes in North America with 300 locations, geographically located across 21 states. The company generates ~50% of their revenue through their Unlimited Wash Program, with the remaining sold through one-off purchases. Monthly memberships run $20-60/month depending on services purchased. The company also operates 32 oil change express locations which are on the premises of certain car washes. </t>
  </si>
  <si>
    <t xml:space="preserve">Leonard Green </t>
  </si>
  <si>
    <t>Insurance Auto Auctions, Inc.</t>
  </si>
  <si>
    <t>Automotive</t>
  </si>
  <si>
    <t>IAA is a leading provider of auction services for total loss, damaged and low-value vehicles. IAA operates online (60% of sales) and physical marketplaces (40% of sales) for buyers and sellers of salvage vehicle and related services, such as transportation, inspection, valuation, titling, and other services. The company is one of the two largest providers in North America with 179 sites across the US and Canada.</t>
  </si>
  <si>
    <t>Public : (IAA) [Will be Publicly Traded]</t>
  </si>
  <si>
    <t>Paper &amp; Forest Products</t>
  </si>
  <si>
    <t>Consumer Goods Non-Durable</t>
  </si>
  <si>
    <t>Worley is the #2 player in the outsourced claims management industry, providing these services to insurance companies: Field Adjustments (53% of Revenue), sending field adjusters to inspect damaged property + provide loss estimates for a flat fee (scaled by loss value); Desk Adjustments (25% of Revenue) providing contractors for desk portion of the claims process (from estimate reviews, to customer follow-ups, to call center/admin services) paid on per day/hour basis; Managed Repairs (11% of Revenue) connecting insurance companies with recovery providers (such as Belfor/ServPro) for a 4-5% fee of total work order; Desktop Review (9% of Revenue) providing adjustment services via photos recieved directly by insured; pay per claim.</t>
  </si>
  <si>
    <t>Kohlberg &amp; Co.</t>
  </si>
  <si>
    <t>Worley Claims Services, LLC</t>
  </si>
  <si>
    <t>Source: Company Financials and York Model</t>
  </si>
  <si>
    <t>Note: Figures in GBP
Source: Company financials and York Model</t>
  </si>
  <si>
    <t>PF Debt
Source: Company Financials and York Model</t>
  </si>
  <si>
    <t>PF Debt
Source: York Model</t>
  </si>
  <si>
    <t>Source: Company Financials and  York Model</t>
  </si>
  <si>
    <t>Source: Company financials and York Model</t>
  </si>
  <si>
    <t>Credit Suisse</t>
  </si>
  <si>
    <t>JP Morgan Chase</t>
  </si>
  <si>
    <t>Royal Bk Can(US)</t>
  </si>
  <si>
    <t>BofA ML</t>
  </si>
  <si>
    <t>Bank America NA</t>
  </si>
  <si>
    <t>RBC Capital Mkts</t>
  </si>
  <si>
    <t>Jefferies Fin</t>
  </si>
  <si>
    <t>UBS AG/Stamford</t>
  </si>
  <si>
    <t>Global Loan Agen</t>
  </si>
  <si>
    <t>JP Morgan</t>
  </si>
  <si>
    <t>CS/Cayman</t>
  </si>
  <si>
    <t>Morgan Stanley</t>
  </si>
  <si>
    <t>Deutsche Bank NY</t>
  </si>
  <si>
    <t xml:space="preserve">ANTARES </t>
  </si>
  <si>
    <t>Source: Presentation</t>
  </si>
  <si>
    <t>Four Months Ended April Quarter 
Source: York Model</t>
  </si>
  <si>
    <t xml:space="preserve">LTM Rev are Net Rev for this quarter
Source: York Model
</t>
  </si>
  <si>
    <t xml:space="preserve">NASCAR is the preeminent stock car and sports racing league in North America. NASCAR is responsible for the creation, oversight and monetization of its IP / content / rights, and generates revenues from TV deals, sponsorship fees, and admission/concession income. </t>
  </si>
  <si>
    <t xml:space="preserve">Private - The France Family </t>
  </si>
  <si>
    <t>GS</t>
  </si>
  <si>
    <t>BDT Capital Partners</t>
  </si>
  <si>
    <t>MS</t>
  </si>
  <si>
    <t>Whataburger is a Texas-based fast food brand which operates and franchises a total of 828 units (713 owned and 115 franchised) in 10 states. The company will be majority owned by funds affiliated with BDT Capital Partners and the founders/current owners. Annual revenues are about $2.2 billion while system sales are approximately $2.4 billion. The company also has a small CPG business, selling specific products into retail which accounts for ~1% of revenues. 62% of sales were through the drive-through, 23% were "dine-in" and 15% were on a "to-go" basis.</t>
  </si>
  <si>
    <t>PLZ Aeroscience Corporation</t>
  </si>
  <si>
    <t>PLZ is a producer of specialty aerosol products. The company formulates, blends, fills and packages proprietary formulations for various end markets. The focus is on branded (30%) and private label (70%) non-discretionary consumer products, such as cleaning agents, disinfectants, air fresheners, polishes, shave gels, antipersperants, hairsprays, cooking sprays, spraypaints, adhesives and other industrial aerosol products with over 11K SKUs.</t>
  </si>
  <si>
    <t>The Pritzker Group</t>
  </si>
  <si>
    <t>ANTARES</t>
  </si>
  <si>
    <t>LTM numbers based on company guidance</t>
  </si>
  <si>
    <t>Wanda Sports Group (NASDAQ: WSG)</t>
  </si>
  <si>
    <t>DB</t>
  </si>
  <si>
    <t xml:space="preserve">World Triathlon Corporation owns, operates and licenses triathlon events under the IRONMAN brand (57% of revenues) in addition to running (24% of revenues), cycling (2% of revenues), and mountain biking (5% of revenues) events worldwide (the remaining 12% is unrelated to specific events). The company primarily earns revenues through event fees, sponsor partnerships, merchandising, host city fees, product licensing, amongst others.  </t>
  </si>
  <si>
    <t>World Triathlon</t>
  </si>
  <si>
    <t>NASCAR</t>
  </si>
  <si>
    <t>Worley Claims Services</t>
  </si>
  <si>
    <t>Whataburger</t>
  </si>
  <si>
    <t>Updated June 2019 from Company Financials</t>
  </si>
  <si>
    <t>Knowlton Development Corporation Inc.</t>
  </si>
  <si>
    <t>Knowlton Development</t>
  </si>
  <si>
    <t>KDC is a leading value-added custom formulator and solution services partner to established and emerging beauty, personal care and home / industrial care companies in North America and Europe. The company's key product categories include: Skin Care (17%); Soap + Sanitizer (15%); Hair Care (13%); Deodorants (12%); Color Cosmetics (10%); Home Fragrances (9%); Body Care (7%); Bath and Shower (5%) and Other (12%);</t>
  </si>
  <si>
    <t>Cornell Capital</t>
  </si>
  <si>
    <t>UBS</t>
  </si>
  <si>
    <t>Updated June 2019 from Company Financials /SYM</t>
  </si>
  <si>
    <t>Source: Company Financials, LP and York Model</t>
  </si>
  <si>
    <t>B&amp;G Foods, Inc. manufactures, sells and distributes a diverse portfolio of branded, high quality, shelf-stable and frozen foods across the United States, Canada and Puerto Rico. The Company has a diverse portfolio of 50+ brands, including vegetables, spices and seasonings, condiments, ethnic foods, hot cereals, snacks, fruit spreads, canned meats and beans, and dry soup mixes, some of which have #1/#2 regional or national market shares.</t>
  </si>
  <si>
    <t>Public: BGS</t>
  </si>
  <si>
    <t>BARC</t>
  </si>
  <si>
    <t>KAR Auction Services</t>
  </si>
  <si>
    <t>KAR Auction Services (KAR) is a leading auto auctions service provider in North America. KAR is the second-largest provider of whole car auction services through its Auto Dealer Exchange Services of America (or “ADESA”) business which engages in both physical (through 74 auction locations) and online-only auctions</t>
  </si>
  <si>
    <t>Public: KAR</t>
  </si>
  <si>
    <t>JPM</t>
  </si>
  <si>
    <t>B&amp;G Foods</t>
  </si>
  <si>
    <t>Figures in €
Source: Company Presentation and York Model</t>
  </si>
  <si>
    <t>Updated June 2019 using company financials / SYM</t>
  </si>
  <si>
    <t>PF Cap Structure (June LP)
Source: Company Financials</t>
  </si>
  <si>
    <t>Source: Company Financials, September 19 LP &amp; York Model</t>
  </si>
  <si>
    <t>PF Cap Structure
Source: July 2019 LP</t>
  </si>
  <si>
    <t>PF Cap Structure for May 2019
Source: July 2019 Lenders Presentation</t>
  </si>
  <si>
    <t>Shearer's Foods</t>
  </si>
  <si>
    <t>OTPP + Wind Point</t>
  </si>
  <si>
    <t>CS</t>
  </si>
  <si>
    <t>Shearer’s Foods is a leading national private label supplier and the #1 contract manufacturer of salty snacks (i.e. pretzels, chips, popcorn, etc.) and #2 contract manufacturer of cookies and crackers in North America. The company provides both Private Label Manufacturing (65% of sales) and Contract Manufacturing (~34% of sales) capabilities to a wide array of retail and CPG customers.</t>
  </si>
  <si>
    <t>Shearers Foods</t>
  </si>
  <si>
    <t>NBTY</t>
  </si>
  <si>
    <t>UFC Holdings</t>
  </si>
  <si>
    <t>Yum Brands</t>
  </si>
  <si>
    <t>Burger King/Tim Hortons</t>
  </si>
  <si>
    <t>Two Months Ended June Quarter 
Source: York Model</t>
  </si>
  <si>
    <t>Arnott's</t>
  </si>
  <si>
    <t>Arnott’s is the market leader in Australian biscuits (cookies/crackers), with a portfolio of defensive snack and meal brands. Arnott’s has more than 150 years of history and its products are found in approximately 95% of Australian households, with brand awareness of ~99%. Arnott’s Biscuits (76% of Revenues) is the #1 snacking brand in Australia and New Zealand. It is also the market leader in each sub-category of biscuits, including savory (57% of share), sweet (54% of share) and chocolate biscuits (73% of share).</t>
  </si>
  <si>
    <t>Arnotts</t>
  </si>
  <si>
    <t>Merlin Entertainments is a global leader in branded, location based family entertainment. Merlin operates 133 attractions in 25 countries, under a portfolio of different brands and concepts: Midway Attractions (represents 40% of sales) which features 119 indoor attractions including the brands of SeaLife Aquariums, Madame Tussauds, Peppa Pig's WorldPlay, and The London Eye (amongst others); LEGOLAND (represents 38% of sales) with 8 Parks globally (opening 2 more), featuring LEGO themed parks with rides, shows, and accomodation; and Resort Theme Parks (22% of Revenues), which are 6 amusement parks with thrill rides, shows and other forms of entertainment.</t>
  </si>
  <si>
    <t>Consortium</t>
  </si>
  <si>
    <t>BAML, DB</t>
  </si>
  <si>
    <t>Updated September 2019 from Company Financials / SYM</t>
  </si>
  <si>
    <t>ServiceMaster</t>
  </si>
  <si>
    <t>Public: SERV</t>
  </si>
  <si>
    <t xml:space="preserve">ServiceMaster is a national provider of termite and pest control, cleaning and disaster restoration, house cleaning, furniture repair and home inspection services through company-owned operations and franchise licenses. Brands include: Terminix, ServiceMaster Clean, ServiceMaster Restore, Merry Maids, Furniture Medic and AmeriSpec. </t>
  </si>
  <si>
    <t>Figures in €
Source: York Model</t>
  </si>
  <si>
    <t>PF Cap Structure
Source: July 2019 Lenders Presentation</t>
  </si>
  <si>
    <t>Merlin Entertainment</t>
  </si>
  <si>
    <t>Roark</t>
  </si>
  <si>
    <t xml:space="preserve">Arby's is acquiring Buffalo Wild Wings ("BWW"). The combined company will have $7.5bn in system-wide sales and over 4,600 restaurants in 14 countries. </t>
  </si>
  <si>
    <t>Arbys Restaurant Group</t>
  </si>
  <si>
    <t>IAA</t>
  </si>
  <si>
    <t>PF Cap Structure</t>
  </si>
  <si>
    <t>PF Cap Structure from Oct 19 LP
Source: York Model</t>
  </si>
  <si>
    <t>Source: Company financials and presentation</t>
  </si>
  <si>
    <t>Updated September 2019 / Company financials and Presentation / SYM</t>
  </si>
  <si>
    <t>Source: York Model and Company Financials</t>
  </si>
  <si>
    <t>Aramark</t>
  </si>
  <si>
    <t>Public: ARMK</t>
  </si>
  <si>
    <t>Aramark is a provider of food and facility support related services to a broad range of institutions in both the US (61% of LTM Revenues) and Internationally (23% of Revenues)</t>
  </si>
  <si>
    <t>BGS</t>
  </si>
  <si>
    <t>Source: York Model and September 2019 Lenders Presentation</t>
  </si>
  <si>
    <t>SyndTrak / Intralinks</t>
  </si>
  <si>
    <t>PF Cap Structure
Source: Company Financials</t>
  </si>
  <si>
    <t>PF Numbers
Source: York Model</t>
  </si>
  <si>
    <t>First Advantage</t>
  </si>
  <si>
    <t>First Advantage is a global provider of screening services for businesses. First Advantage will quote a package for their clients. The company then bills customers monthly based on the volume of packages (i.e. seasonal retail employees have a different screening package than CEOs), with price/screen ranging from $1-$50 depending on services offered.</t>
  </si>
  <si>
    <t>Silver Lake</t>
  </si>
  <si>
    <t>BOFA, JPM (2L)</t>
  </si>
  <si>
    <t>ABG acquires and manages consumer brands in Lifestyle, Celebrity &amp; Entertainment and Sports verticals. ABG licenses its intellectual property to third parties to be used in connection with apparel, consumer goods, endorsements, music recordings and live events. ABG manages a portfolio of more than 30 brands across the apparel and entertainment spectrum, with well-known names that require revitalization such as Juicy Couture, Aeropostale, and Jones New York.</t>
  </si>
  <si>
    <t>Blackrock + Others</t>
  </si>
  <si>
    <t>Bank Of America</t>
  </si>
  <si>
    <t>Reynolds Consumer Products</t>
  </si>
  <si>
    <t>The company produces and sells products in 3 categories: (i) Reynolds Cooking and Baking (37% of revenue): produces aluminum foil, disposable aluminum pans, parchment and other cooking papers, and plastic wrap amongst others. Products are sold under the Reynolds Wrap, Alcan and EZ Foil brands. Holds +50% market share in all product categories. (ii) Waste and Storage (39% of revenue): produces both branded and store brand trash and food storage bags under the Hefty and Presto brands. (iii) Tableware (24% of revenue):  sells branded and store brand disposable and compostable plates, bowls, cups and cutlery under the Hefty Brand, Branded products and store brand products accounted for roughly 57% and 43% of revenues.</t>
  </si>
  <si>
    <t>Publicly Traded: (REYN: NASDAQ)</t>
  </si>
  <si>
    <t>Stubhub</t>
  </si>
  <si>
    <t>Internet Software &amp; Services</t>
  </si>
  <si>
    <t>Viagogo provides an online marketplace for secondary tickets along with payment support, logistics, and customer service. Post-acquisition of StubHub, the combined company will be the leading ticket marketplace globally, nearly 3x larger than the number 2 marketplace (Vivid Seats) with average take rates in the 20-25% range.</t>
  </si>
  <si>
    <t>Madrone Capital Partners, Bessemer Venture Partners, and Eric Baker, CEO and founder</t>
  </si>
  <si>
    <t>AMEX Global Business Travel</t>
  </si>
  <si>
    <t>Amex Global Business Travel is the largest corporate Travel Management company . GBT offers travel management services, integrated consulting services, proprietary research, and end-to-end meetings and events capabilities worldwide. The company sells to over 12,000 clients in 141 countries worldwide, with geographical revenue split of 61% North America, 27% EMEA, 10% APAC and 2% LatAm. 48% of revenues are from clients, primarily through transaction fees, and overhead management fees.</t>
  </si>
  <si>
    <t>N/A</t>
  </si>
  <si>
    <t>JV: 50% American Express + 50% Consortium</t>
  </si>
  <si>
    <t>Source: 10-Q and York Model</t>
  </si>
  <si>
    <t>Figures in €
Source: Company Financials</t>
  </si>
  <si>
    <t>Source: Company Financials &amp; York Model</t>
  </si>
  <si>
    <t>KAR</t>
  </si>
  <si>
    <t xml:space="preserve">Source: Company Financials </t>
  </si>
  <si>
    <t>Source: Company Presentation</t>
  </si>
  <si>
    <t>Source: Lenders Presentation January 2020</t>
  </si>
  <si>
    <t>PF Cap Structure from Jan 2020 LP</t>
  </si>
  <si>
    <t>PF cap structure from January 2020 LP</t>
  </si>
  <si>
    <t>PF RR Adj. EBITDA
Source: Company Financials</t>
  </si>
  <si>
    <t>PF Cap Structure
Source: Jan 2020 LP</t>
  </si>
  <si>
    <t>IR</t>
  </si>
  <si>
    <t>http://investor.wsg.cn/investor-relations</t>
  </si>
  <si>
    <t>Source: Preliminary Results</t>
  </si>
  <si>
    <t>Langston Johnson</t>
  </si>
  <si>
    <t>Updated March 2020 from Company Financials / SYM</t>
  </si>
  <si>
    <t>Source: Presentation for Lenders and York Model</t>
  </si>
  <si>
    <t xml:space="preserve">Source: 10-Q </t>
  </si>
  <si>
    <t>Updated March 2020 from 10-Q / SYM NEW</t>
  </si>
  <si>
    <t>PF no's
Source: York Model and Compliance certificacte</t>
  </si>
  <si>
    <t>Updated March 2020 from Company Financials / PF Cap Structure - SYM</t>
  </si>
  <si>
    <t>Six Months
Source: York Model</t>
  </si>
  <si>
    <t>Six Months 
Source: October 2019 LP and York Model</t>
  </si>
  <si>
    <t>Six Months</t>
  </si>
  <si>
    <t>3 Months
Semi-Annual till Dec-19, 
Source: York Model</t>
  </si>
  <si>
    <t>Updated March 2020 using company financials and LP / NEW / SYM</t>
  </si>
  <si>
    <t>LTM Rev is 2Q Annualized
Source: Compliance certificate</t>
  </si>
  <si>
    <t>Source: April 2020 Presentation</t>
  </si>
  <si>
    <t>Only March LTM no's from April Presentation / NEW - Added from Scratch</t>
  </si>
  <si>
    <t>REYN / SyndTrak</t>
  </si>
  <si>
    <t>ARMK</t>
  </si>
  <si>
    <t>LTM EBITDA and previous documents are N/A</t>
  </si>
  <si>
    <t>LTM Rev is 3Q Annualized
Source: York Model</t>
  </si>
  <si>
    <t>Updated June 2020 from company financials / NEW / SYM</t>
  </si>
  <si>
    <t>Syndtrak /KDC-Folder</t>
  </si>
  <si>
    <t>PF Capital Structure from June 2020 Presentation</t>
  </si>
  <si>
    <t>Blackhawk Network Holdings</t>
  </si>
  <si>
    <t>Diversified Financial Services</t>
  </si>
  <si>
    <t>NEW - Updated from scratch</t>
  </si>
  <si>
    <t xml:space="preserve">Blackhawk is a leading prepaid payment network company which offers consumers and businesses a range of prepaid cards in both physical and electronic forms. This includes gift and rebate prepaid products, payment services and incentives solutions. </t>
  </si>
  <si>
    <t>Silverlake + P2 Capital Partners</t>
  </si>
  <si>
    <t>BAML</t>
  </si>
  <si>
    <t>Adevinta will be the largest online classifieds business in the world (outside of China) and generates revenues primarily through online classifieds listings/subscriptions and advertisements. Adevinta sells across 20 countries in the World, and will have five key markets: Germany (27% of revenues) , France (22%), Spain (11%),  Canada (9%), The Netherlands (8%) . By category, the companies sales are broken down by: Motors (40%), Advertising (28%), Real Estate (15%), Jobs (7%) and Other (10%).</t>
  </si>
  <si>
    <t xml:space="preserve">Public </t>
  </si>
  <si>
    <t>BARC, CITI</t>
  </si>
  <si>
    <t>Adevinta</t>
  </si>
  <si>
    <t>Alliance Laundry</t>
  </si>
  <si>
    <t>Electronic Equipment, Instruments &amp; Components</t>
  </si>
  <si>
    <t>Alliance is the largest commerical laundry machine manufacturer in the world. The company sells globally to 170 countries under the brands Speed Queen, Huebsch, IPSO, Primus and UniMac. The company sells to the following four end markets: Laundromats (32% of sales); On Premise Laundry (Hospitality, Healthcare, Correctional, Restaurants, etc. -- 28% of revenues); Multi-Housing (17% of sales) and Consumer (23% of sales).</t>
  </si>
  <si>
    <t>American Residential</t>
  </si>
  <si>
    <t>Household Durables</t>
  </si>
  <si>
    <t>GI Partners / Charlesbank Capital Partners</t>
  </si>
  <si>
    <t xml:space="preserve">American Residential is a leading provider of home and commercial maintenance and repair services. They have specialties in HVAC (69%); Plumbing (23%) and Other (8%), such as electrial work, smart home intallations, and other maintenance activities. </t>
  </si>
  <si>
    <t>Service Logic</t>
  </si>
  <si>
    <t>Service Logic is the leading independent provider of aftermarket maintenance, repair, and replacement services for commercial HVAC, water, and building automation/controls systems. The company operates 76 branches across the US (with offices primarily located in suburban areas) and serves over 25K customers across the US.</t>
  </si>
  <si>
    <t>Leonard Green &amp; Partners</t>
  </si>
  <si>
    <t>Weber Grills</t>
  </si>
  <si>
    <t xml:space="preserve">Weber is the leading global manufacturer and  marketer of  barbeque grills and accessories. Revenue is broken down as follows: Gas Grills (58%), Accessories (19%) Charcoal Grills (12%), Electric (2%), Smokers (1%), Pellets (1%). Products are primarily sold through Brick and Mortar customers (84% of revenues) though sales have been shifting to e-commerce and DTC channels as well (16% of revenues) in recent years.  </t>
  </si>
  <si>
    <t>Updated Sept-20 / Quarterly going forward / Semi-Annual till Dec-19 / New - Added from scratch / SYM</t>
  </si>
  <si>
    <t>Updated Sept 2020 from Company Financials / NEW / SYM</t>
  </si>
  <si>
    <t>Updated Sept 2020 from Company Financials</t>
  </si>
  <si>
    <t>PF cap structure from Jan 2020 LP / NEW / Sept partialy updated, check back on 26th</t>
  </si>
  <si>
    <t>Updated September 2020 from company financials/ SYM / Updated Dec LTM nos from preliminary result</t>
  </si>
  <si>
    <t xml:space="preserve">Zaxby’s is a founder-owned and operated QSR restaurant brand focused primarily on chicken-based meals. Currently, the Company operates 906 units, of which 84% are franchised (this is the long term target as well. Restuarants are typically  located in suburban/town locations in 17 states across the Southeastern US.  </t>
  </si>
  <si>
    <t>Zaxby's</t>
  </si>
  <si>
    <t>Zaxbys</t>
  </si>
  <si>
    <t>CommerceHub</t>
  </si>
  <si>
    <t xml:space="preserve">CommerceHub is a cloud-based e-commerce software platform for large retailers and online marketplaces, as well as consumer brands, manufacturers, distributors and other market participants. </t>
  </si>
  <si>
    <t>Insight Partners, GCTR, Sycamore</t>
  </si>
  <si>
    <t>Imperial Dade</t>
  </si>
  <si>
    <t>Imperial Dade is the largest pure-play distributor of Foodservice Disposables (65% of revenues) and Janitorial Sanitation products (35% of revenues) in the U.S. The Company is a partner to over ~40,000 customers, providing those customers with a product portfolio of over 60,000 SKUs.</t>
  </si>
  <si>
    <t>Bain Capital</t>
  </si>
  <si>
    <t xml:space="preserve">Therma Holdings </t>
  </si>
  <si>
    <t>Therma Holdings is a specialty, mechanical, electrical and plumbing services provider focused on serving "mission critical" facilities. Therma's integrated service offerings, including in-plant services, preventative &amp; maintenance services, system installations, and refurb/replacement services, address all stages in a facility lifecycle and enhances customer stickiness and efficiency.</t>
  </si>
  <si>
    <t xml:space="preserve">Blackstone </t>
  </si>
  <si>
    <t>JEFF</t>
  </si>
  <si>
    <t>Therma Holdings</t>
  </si>
  <si>
    <t>Utz Brands</t>
  </si>
  <si>
    <t>Utz Brands is a maker of salty snacks, including potato chips, tortilla chips, pretzels, cheese snacks, pork skins, pub and party mixes, veggie snacks, and popcorn.</t>
  </si>
  <si>
    <t>Public Company: UTZ</t>
  </si>
  <si>
    <t>BofA</t>
  </si>
  <si>
    <t>Rent-A-Center</t>
  </si>
  <si>
    <t xml:space="preserve">Rent-A-Center, Inc. is a leading provider of household durable goods to customers primarily on a rent-to-own basis. The company owns and operates over 3,000 stores in the U.S., Puerto Rico, Mexico and Canada. </t>
  </si>
  <si>
    <t>Public: RCII</t>
  </si>
  <si>
    <t>PrimeSource</t>
  </si>
  <si>
    <t>Building Products</t>
  </si>
  <si>
    <t>Clearlake Capital</t>
  </si>
  <si>
    <t>PrimeSource is the #1 provider of construction fastening solutions and other complementary specialty building products focused on residential projects. Dimora is a leading provider of specialty hardware and home accessories. PF for the combination, they will have 45 distribution warehouses, 52,000+ SKUs and 30,000+ customers.</t>
  </si>
  <si>
    <t>PDC Brands</t>
  </si>
  <si>
    <t xml:space="preserve">PDC is a branded consumer products company focused on the wellness (Dr. Teal's), specialty bath (bodycology, Calgon and Me! bath), multicultural beauty (Cantu), and fragrance categories, amongst others. PDC focuses in the mass channel - selling to a host of large mass retailers (ie. Walmart, Target), online retailers Amazon,  Pharmacies (Walgreens, Rite Aid) and Dollar Stores amongst others. </t>
  </si>
  <si>
    <t>CVC Capital + Leonard Green</t>
  </si>
  <si>
    <t>NOMURA</t>
  </si>
  <si>
    <t>Murphy USA</t>
  </si>
  <si>
    <t>Oil, Gas &amp; Consumable Fuels</t>
  </si>
  <si>
    <t>Energy: Oil &amp; Gas</t>
  </si>
  <si>
    <t xml:space="preserve">Murphy's USA operates as the #5 largest convenience store/gas station chain in the US. The company was spun out of Murphy Oil back in August 2013 and is currently traded on the NYSE. PF for the acquisition, the company will operate 1,657 locations across 27 states (primarily in the Eastern US). </t>
  </si>
  <si>
    <t>Public: MUSA</t>
  </si>
  <si>
    <t>RBC</t>
  </si>
  <si>
    <t>Jo-Ann Fabrics</t>
  </si>
  <si>
    <t>Jo-Ann Stores is the nation’s largest specialty retailer of fabrics and one of the largest specialty retailers of crafts with 857 stores in 49 states. The company has a sales mix of roughly ~50% crafts and ~50% sewing.</t>
  </si>
  <si>
    <t>Hillman</t>
  </si>
  <si>
    <t>The Hillman Group, Inc. is a supplier of consumable hardware (~61% of sales), personal protective equipment (~22% of sales), and keys (13%). Product lines include fasteners and related hardware items; threaded rod and metal shapes; keys, key duplication systems, and accessories; builder's hardware; personal protective equipment, such as gloves and eye-wear; and identification items, such as tags and letters, numbers, and signs.</t>
  </si>
  <si>
    <t>Publicly Traded: HLMN</t>
  </si>
  <si>
    <t>Domtar Personal Care</t>
  </si>
  <si>
    <t>American Industrial Partners</t>
  </si>
  <si>
    <t>Domtar Personal Care is a manufacturer and distributor of personal care products in the U.S. and Europe. The company's product focus is in Adult Incontinence (69%), Baby Diapers (27%) and Others (4%). Branded Products account for ~60% of products sold, while Private Label accounts for the remaining 40% of revenues.</t>
  </si>
  <si>
    <t>Authentic Brands Group LLC</t>
  </si>
  <si>
    <t>PF for 8/31/2020
Source: York Model</t>
  </si>
  <si>
    <t>Triton is the leading provider of bottled water in the United States and Canada (#1 with over ~19% share in retail; #2 with ~33% for delivery) offering a portfolio of recognizable regional spring and national purified water brands.</t>
  </si>
  <si>
    <t>One Rock and Dean Metropolous</t>
  </si>
  <si>
    <t>Triton Water</t>
  </si>
  <si>
    <t>SiteOne</t>
  </si>
  <si>
    <t>SiteOne is a national wholesale distributor of landscaping supplies in the US and Canada. The company offers approximately 130,000 SKU's, including irrigation supplies, landscape accessories, fertilizer and nursery products, hardscapes, and maintenance supplies through 570 branch locations in the U.S. and Canada.</t>
  </si>
  <si>
    <t>Publicly Traded</t>
  </si>
  <si>
    <t>Spectrum Brands</t>
  </si>
  <si>
    <t>Conglomerates</t>
  </si>
  <si>
    <t>Consumer Goods: Non-Durable</t>
  </si>
  <si>
    <t>Public: SPB</t>
  </si>
  <si>
    <t>Spectrum Brands, Inc is a global diversified home essentials company, operating under four core business segments. Segments include Hardware &amp; Home Improvement, Home &amp; Personal Care, Global Pet Care and Home &amp; Garden</t>
  </si>
  <si>
    <t>Source: York Model and LP</t>
  </si>
  <si>
    <t>Updated Dec 2020 from Company Financials / SYM</t>
  </si>
  <si>
    <t>Public / Link</t>
  </si>
  <si>
    <t>PF Cap. Structure from Feb 21 LP</t>
  </si>
  <si>
    <t>Folder/ Requested access</t>
  </si>
  <si>
    <t>Intralinks - Charger</t>
  </si>
  <si>
    <t>Updated June 2020 from Company Financials / Semi Annual</t>
  </si>
  <si>
    <t>Updated DEc 2020 from company financials/ SYM</t>
  </si>
  <si>
    <t>NM</t>
  </si>
  <si>
    <t>Source: March 2021 LP</t>
  </si>
  <si>
    <t>City Brewing</t>
  </si>
  <si>
    <t xml:space="preserve">City Brewery is a contract producer and packer of beverages including beer and malt based alcoholic beverages, teas, energy drinks and soft drinks. Customers include large branded, independent beverage makers and marketers, including companies engaged in both the alcoholic and non-alcoholic beverage segments. </t>
  </si>
  <si>
    <t>Blue Ribbon, Charlesbank and Oaktree</t>
  </si>
  <si>
    <t>Hunter Fans</t>
  </si>
  <si>
    <t>Hunter Fan Company is a leading designer and distributor of branded ceiling fans and residential lighting. The company has roghly 1,200 SKUs and sells across various channels: In-Store Retail (63%), Retail E-commerce (35% and DTC (2%).</t>
  </si>
  <si>
    <t>MidOcean Partners</t>
  </si>
  <si>
    <t>ImageFirst</t>
  </si>
  <si>
    <t>Calera Capital</t>
  </si>
  <si>
    <t xml:space="preserve">ImageFIRST is a leading provider of outsourced laundry and textile rental services with a focus on outpatient and specialty healthcare in the U.S. The Company is the largest provider of these services to the outpatient end market, with 54 locations across 26 states, serving over 10,000 customers. </t>
  </si>
  <si>
    <t>Updated Mar-21 from 10-Q / PF Cap structure from Jan 2020 LP / NEW - Added from Scratch</t>
  </si>
  <si>
    <t>Updated Dec 2020  / PF cap structure from Jan 2020 LP / NEW / SYM</t>
  </si>
  <si>
    <t>PF Cap from Apr 2021 LP</t>
  </si>
  <si>
    <t>Source: Company Presentation and York Model</t>
  </si>
  <si>
    <t>Updated Mar 2021 from 10-Q</t>
  </si>
  <si>
    <t>Updated Mar 2021 / NEW / Updated from January 2020 LP</t>
  </si>
  <si>
    <t>Updated Mar 2021 from Company Presentation</t>
  </si>
  <si>
    <t>Updated Mar 2021 from Company Financials / SYM</t>
  </si>
  <si>
    <t>Updated Mar 2021 / SYM / NEW - Updated from scratch</t>
  </si>
  <si>
    <t>Updated Mar 2021 from 10-K</t>
  </si>
  <si>
    <t>Frontdoor</t>
  </si>
  <si>
    <t>Frontdoor is the largest provider of home service plans in the United States by revenue, with 2M+ customers across its four go-to-market brands—American Home Shield, HSA, OneGuard, &amp; Landmark.</t>
  </si>
  <si>
    <t>Public: FTDR (NASDAQ)</t>
  </si>
  <si>
    <t>Conair</t>
  </si>
  <si>
    <t>Conair Corporation is a designer, manufacturer and marketer of branded personal care appliances, small kitchen appliances and cookware, professional hair care and beauty products, hairbrushes and haircare accessories, cosmetic and organizer bags and travel accessories.</t>
  </si>
  <si>
    <t>Club Car</t>
  </si>
  <si>
    <t>Club Car is a leading designer and manufacturer of golf, utility, and consumer low-speed vehicles. The company's geography split: Americas 91%, EMEA 5%; APAC 4%.</t>
  </si>
  <si>
    <t>Updated Feb 21 using compliance cert / previous data missing / NEW - Added from scratch</t>
  </si>
  <si>
    <t>Updated Feb 2021 from Company Financials / SYM</t>
  </si>
  <si>
    <t>Updated Jan 2021 / PF Cap structure from June 20 Presentation / SYM</t>
  </si>
  <si>
    <t>Updated Jan 2021 using Presentation</t>
  </si>
  <si>
    <t>Updated Mar 2021 from Company Financials / Sept and Dec missing /  SYM</t>
  </si>
  <si>
    <t>Updated partially till Dec 20 / LTM EBITDA missing . Updated March 2020 quarter / SYM</t>
  </si>
  <si>
    <t xml:space="preserve">Updated Mar 2021 Financials / SYM </t>
  </si>
  <si>
    <t>Updated Mar 2021 / Dec and June Financials missing / Sept and June LTM Rev and FCF nos missing/ NEW / SYM</t>
  </si>
  <si>
    <t>Source: York Model and Dec 2020 LP</t>
  </si>
  <si>
    <t>Updated Mar 2021 from company financials / NEW - Updated from scratch</t>
  </si>
  <si>
    <t>Updated March and Dec / NEW - Updated from scratch</t>
  </si>
  <si>
    <t>SERV / TMX</t>
  </si>
  <si>
    <t>Updated Mar 21 / Updated 8 quarters till Dec 19 from 10-Q/K / NEW - Added from Scratch</t>
  </si>
  <si>
    <t>Updated February 2021 from Company financials / SYM</t>
  </si>
  <si>
    <t>Refficiency</t>
  </si>
  <si>
    <t>Updated Mar 2021 from company financials - Source: Presentation from website / SYM</t>
  </si>
  <si>
    <t>APM Global</t>
  </si>
  <si>
    <t>APM is a global provider of health and human services for governments across the world to those with disability and/or on welfare payments</t>
  </si>
  <si>
    <t>Madison Dearborn</t>
  </si>
  <si>
    <t>Sovos Brands</t>
  </si>
  <si>
    <t>Sovos Brands was formed in 2016 as a platform to build a diversified branded packaged food company.</t>
  </si>
  <si>
    <t>Madison IAQ</t>
  </si>
  <si>
    <t>The combination of Madison IAQ/Nortek will create a leading manufacturer of indoor air quality solutions. Key product categories include: Ventilation and Bath Fans (13%), Kitchen Range Hoods (12%), Air Handling Units (11%), Duhumidifiers (10%); Data Center Cooling (10%); with the remaining diversified across 13 seperate categories.</t>
  </si>
  <si>
    <t>Madison Industries</t>
  </si>
  <si>
    <t>Herman Miller</t>
  </si>
  <si>
    <t>Herman Miller researches, designs, manufactures and distributes interior furnishings for use in various environments including office, healthcare, educational and residential settings.</t>
  </si>
  <si>
    <t>EmployBridge</t>
  </si>
  <si>
    <t xml:space="preserve">EmployBridge  provides light industrial staffing solutions across 48 U.S. states and several locations in Canada. </t>
  </si>
  <si>
    <t>Apollo</t>
  </si>
  <si>
    <t>Updated June 2021 / NEW - Added from Scratch / SYM</t>
  </si>
  <si>
    <t>Updated June 2021 from 10-K / Readded in Dec 20</t>
  </si>
  <si>
    <t>Updated June 2021 from 10-Q</t>
  </si>
  <si>
    <t>CoolSys</t>
  </si>
  <si>
    <t>CoolSys is the leading independent, national provider of maintenance, repair, and installation services for refrigeration and HVAC systems in the U.S. The company's primary end markets are grocery, retail and restaurants.</t>
  </si>
  <si>
    <t>Ares Management</t>
  </si>
  <si>
    <t>Monogram Food</t>
  </si>
  <si>
    <t>Founded in 2004, Monogram Foods is a privately held manufacturer and marketer of meat products, snacks and frozen appetizers, serving a diverse array of customers with a portfolio of capabilities.</t>
  </si>
  <si>
    <t>Pritzker Private Capital + Others</t>
  </si>
  <si>
    <t>Pilot Travel Centers</t>
  </si>
  <si>
    <t>Pilot Travel Centers LLC owns and operates more than 750 truck stops across the U.S. and Canada across 44 states and 6 provinces. In addition to fuel, Pilot locations have convenience stores, fast food restaurants, and other amenities.</t>
  </si>
  <si>
    <t>Berkshire Hathaway + Pilot</t>
  </si>
  <si>
    <t>WF</t>
  </si>
  <si>
    <t>Waterlogic</t>
  </si>
  <si>
    <t>Waterlogic is a leading manufacturer and global distributor of point-of-use (POU) water coolers designed for environments such as offices, factories, hospitals, hotels, schools, restaurants and other workplaces. In 2020, the company had subsidiaries across 18 countries in Europe, the US, Latin America and Australia.</t>
  </si>
  <si>
    <t>Castik Capital (54%) and Others</t>
  </si>
  <si>
    <t>CITI, GS, HSBC, SMBC, SOC GEN</t>
  </si>
  <si>
    <t>Updated June 2021 / NEW - Updated from scratch</t>
  </si>
  <si>
    <t>Updated June-21 / Dec financials missing / PF cap structure - Feb LP /  Readded from scratch</t>
  </si>
  <si>
    <t>Updated June 2021 from company financial and LP</t>
  </si>
  <si>
    <t>Updated June 2021 / Dec LTM from Preliminary Results / Keep a tab of LTM EBITDA / SYM</t>
  </si>
  <si>
    <t>Updated June 2021 from company financials / SYM / Complete using SY&lt;</t>
  </si>
  <si>
    <t>Updated June 2021 Financials / SYM</t>
  </si>
  <si>
    <t>Updated June 2021 from company financials / SYM</t>
  </si>
  <si>
    <t>Updated June 2021 from Company Financials / SYM / Only PF LTM nos for June from July 2019 LP</t>
  </si>
  <si>
    <t>Updated June 2021 / Previous quarters missing /NEW / SYM</t>
  </si>
  <si>
    <t>Updated June 2021 from Company Financials</t>
  </si>
  <si>
    <t>Updated June 2021 from Company Financials / SYM</t>
  </si>
  <si>
    <t>Update June 2021 / NEW - Updated from scratch</t>
  </si>
  <si>
    <t>Updated June 2021 (Presentation inside compliance cert) / PF Cap from Jan 20 LP / SYM</t>
  </si>
  <si>
    <t>Updated June 2021 Financials from Company Financials</t>
  </si>
  <si>
    <t>Updated June 2021 from company financials/ LP / SYM</t>
  </si>
  <si>
    <t>Updated June 2021 from Company Financials / Both companies combined / SYM</t>
  </si>
  <si>
    <t>Updated June 2021 from Company Financials and LP / SYM</t>
  </si>
  <si>
    <t>PF Dec Cap / Updated June 2021 from company financials / NEW / SYM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</si>
</sst>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000000000"/>
    <numFmt numFmtId="165" formatCode="0.0%"/>
    <numFmt numFmtId="166" formatCode="0.0\x"/>
    <numFmt numFmtId="167" formatCode="#,##0.0_);\(#,##0.0\)"/>
    <numFmt numFmtId="168" formatCode="[$-409]d\-mmm\-yy;@"/>
    <numFmt numFmtId="169" formatCode="#,##0.000_);\(#,##0.000\)"/>
    <numFmt numFmtId="170" formatCode="0.0"/>
    <numFmt numFmtId="171" formatCode="0.000000"/>
    <numFmt numFmtId="172" formatCode="0.000"/>
    <numFmt numFmtId="173" formatCode="#,##0.0"/>
    <numFmt numFmtId="174" formatCode="#,##0.0000_);\(#,##0.0000\)"/>
    <numFmt numFmtId="175" formatCode="#,##0.000000_);\(#,##0.000000\)"/>
  </numFmts>
  <fonts count="33" x14ac:knownFonts="1">
    <font>
      <sz val="11"/>
      <color theme="1"/>
      <name val="Calibri"/>
      <family val="2"/>
      <scheme val="minor"/>
    </font>
    <font>
      <sz val="11"/>
      <color theme="1"/>
      <name val="Calibri"/>
      <family val="2"/>
      <scheme val="minor"/>
    </font>
    <font>
      <sz val="10"/>
      <color theme="1"/>
      <name val="Calibri"/>
      <family val="2"/>
      <scheme val="minor"/>
    </font>
    <font>
      <sz val="10"/>
      <color theme="0"/>
      <name val="Calibri"/>
      <family val="2"/>
      <scheme val="minor"/>
    </font>
    <font>
      <sz val="10"/>
      <color rgb="FF0000FF"/>
      <name val="Calibri"/>
      <family val="2"/>
      <scheme val="minor"/>
    </font>
    <font>
      <sz val="10"/>
      <name val="Calibri"/>
      <family val="2"/>
      <scheme val="minor"/>
    </font>
    <font>
      <sz val="9"/>
      <color theme="0"/>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
      <i/>
      <sz val="10"/>
      <color theme="0"/>
      <name val="Calibri"/>
      <family val="2"/>
      <scheme val="minor"/>
    </font>
    <font>
      <b/>
      <sz val="10"/>
      <color theme="0"/>
      <name val="Calibri"/>
      <family val="2"/>
      <scheme val="minor"/>
    </font>
    <font>
      <sz val="8"/>
      <color indexed="81"/>
      <name val="Tahoma"/>
      <family val="2"/>
    </font>
    <font>
      <sz val="10"/>
      <name val="Arial"/>
      <family val="2"/>
    </font>
    <font>
      <sz val="11"/>
      <color theme="1" tint="0.34998626667073579"/>
      <name val="Calibri"/>
      <family val="2"/>
      <scheme val="minor"/>
    </font>
    <font>
      <sz val="11"/>
      <name val="Calibri"/>
      <family val="2"/>
      <scheme val="minor"/>
    </font>
    <font>
      <b/>
      <sz val="11"/>
      <name val="Calibri"/>
      <family val="2"/>
      <scheme val="minor"/>
    </font>
    <font>
      <u/>
      <sz val="11"/>
      <color theme="10"/>
      <name val="Calibri"/>
      <family val="2"/>
      <scheme val="minor"/>
    </font>
    <font>
      <sz val="10"/>
      <color theme="1"/>
      <name val="Arial"/>
      <family val="2"/>
    </font>
    <font>
      <b/>
      <u/>
      <sz val="10"/>
      <color theme="1"/>
      <name val="Calibri"/>
      <family val="2"/>
      <scheme val="minor"/>
    </font>
    <font>
      <b/>
      <sz val="10"/>
      <color rgb="FF0000FF"/>
      <name val="Calibri"/>
      <family val="2"/>
      <scheme val="minor"/>
    </font>
    <font>
      <u val="singleAccounting"/>
      <sz val="10"/>
      <color theme="1"/>
      <name val="Calibri"/>
      <family val="2"/>
      <scheme val="minor"/>
    </font>
    <font>
      <b/>
      <sz val="10"/>
      <name val="Calibri"/>
      <family val="2"/>
      <scheme val="minor"/>
    </font>
    <font>
      <b/>
      <i/>
      <sz val="10"/>
      <color rgb="FFC00000"/>
      <name val="Calibri"/>
      <family val="2"/>
      <scheme val="minor"/>
    </font>
    <font>
      <b/>
      <i/>
      <sz val="10"/>
      <color rgb="FFFF0000"/>
      <name val="Calibri"/>
      <family val="2"/>
      <scheme val="minor"/>
    </font>
    <font>
      <sz val="11"/>
      <color theme="0"/>
      <name val="Calibri"/>
      <family val="2"/>
      <scheme val="minor"/>
    </font>
    <font>
      <sz val="9"/>
      <color indexed="81"/>
      <name val="Tahoma"/>
      <family val="2"/>
    </font>
    <font>
      <b/>
      <i/>
      <u/>
      <sz val="10"/>
      <color theme="1"/>
      <name val="Calibri"/>
      <family val="2"/>
      <scheme val="minor"/>
    </font>
    <font>
      <sz val="10"/>
      <color rgb="FF000000"/>
      <name val="Times New Roman"/>
      <family val="1"/>
    </font>
    <font>
      <sz val="9"/>
      <color rgb="FF0000FF"/>
      <name val="Calibri"/>
      <family val="2"/>
      <scheme val="minor"/>
    </font>
    <font>
      <b/>
      <sz val="8"/>
      <color indexed="81"/>
      <name val="Tahoma"/>
      <family val="2"/>
    </font>
    <font>
      <b/>
      <i/>
      <sz val="10"/>
      <color rgb="FF0000FF"/>
      <name val="Calibri"/>
      <family val="2"/>
      <scheme val="minor"/>
    </font>
    <font>
      <i/>
      <sz val="10"/>
      <color rgb="FF0000FF"/>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2" tint="-0.24994659260841701"/>
        <bgColor indexed="64"/>
      </patternFill>
    </fill>
    <fill>
      <patternFill patternType="solid">
        <fgColor rgb="FFCCFF33"/>
        <bgColor indexed="64"/>
      </patternFill>
    </fill>
    <fill>
      <patternFill patternType="solid">
        <fgColor rgb="FFCCFF66"/>
        <bgColor indexed="64"/>
      </patternFill>
    </fill>
  </fills>
  <borders count="8">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double">
        <color auto="1"/>
      </bottom>
      <diagonal/>
    </border>
  </borders>
  <cellStyleXfs count="5">
    <xf numFmtId="0" fontId="0" fillId="0" borderId="0"/>
    <xf numFmtId="0" fontId="13" fillId="0" borderId="0"/>
    <xf numFmtId="0" fontId="13" fillId="0" borderId="0"/>
    <xf numFmtId="0" fontId="17" fillId="0" borderId="0" applyNumberFormat="0" applyFill="0" applyBorder="0" applyAlignment="0" applyProtection="0"/>
    <xf numFmtId="9" fontId="1" fillId="0" borderId="0" applyFont="0" applyFill="0" applyBorder="0" applyAlignment="0" applyProtection="0"/>
  </cellStyleXfs>
  <cellXfs count="137">
    <xf numFmtId="0" fontId="0" fillId="0" borderId="0" xfId="0"/>
    <xf numFmtId="0" fontId="2" fillId="2" borderId="0" xfId="0" applyFont="1" applyFill="1"/>
    <xf numFmtId="14" fontId="2" fillId="2" borderId="0" xfId="0" applyNumberFormat="1" applyFont="1" applyFill="1"/>
    <xf numFmtId="164" fontId="2" fillId="2" borderId="0" xfId="0" applyNumberFormat="1" applyFont="1" applyFill="1"/>
    <xf numFmtId="0" fontId="3" fillId="3" borderId="0" xfId="0" applyFont="1" applyFill="1" applyAlignment="1">
      <alignment vertical="top" wrapText="1"/>
    </xf>
    <xf numFmtId="0" fontId="3" fillId="3" borderId="0" xfId="0" applyFont="1" applyFill="1" applyAlignment="1">
      <alignment vertical="top"/>
    </xf>
    <xf numFmtId="165" fontId="2" fillId="2" borderId="0" xfId="0" applyNumberFormat="1" applyFont="1" applyFill="1"/>
    <xf numFmtId="166" fontId="2" fillId="0" borderId="0" xfId="0" applyNumberFormat="1" applyFont="1" applyFill="1" applyAlignment="1">
      <alignment horizontal="right"/>
    </xf>
    <xf numFmtId="165" fontId="3" fillId="3" borderId="0" xfId="0" applyNumberFormat="1" applyFont="1" applyFill="1"/>
    <xf numFmtId="166" fontId="3" fillId="3" borderId="0" xfId="0" applyNumberFormat="1" applyFont="1" applyFill="1"/>
    <xf numFmtId="166" fontId="2" fillId="2" borderId="0" xfId="0" applyNumberFormat="1" applyFont="1" applyFill="1"/>
    <xf numFmtId="167" fontId="2" fillId="2" borderId="0" xfId="0" applyNumberFormat="1" applyFont="1" applyFill="1"/>
    <xf numFmtId="167" fontId="4" fillId="2" borderId="0" xfId="0" applyNumberFormat="1" applyFont="1" applyFill="1"/>
    <xf numFmtId="167" fontId="5" fillId="2" borderId="0" xfId="0" applyNumberFormat="1" applyFont="1" applyFill="1"/>
    <xf numFmtId="167" fontId="6" fillId="3" borderId="0" xfId="0" applyNumberFormat="1" applyFont="1" applyFill="1" applyBorder="1"/>
    <xf numFmtId="0" fontId="3" fillId="3" borderId="0" xfId="0" applyFont="1" applyFill="1"/>
    <xf numFmtId="37" fontId="2" fillId="2" borderId="0" xfId="0" applyNumberFormat="1" applyFont="1" applyFill="1"/>
    <xf numFmtId="167" fontId="3" fillId="3" borderId="0" xfId="0" applyNumberFormat="1" applyFont="1" applyFill="1" applyAlignment="1">
      <alignment horizontal="right"/>
    </xf>
    <xf numFmtId="37" fontId="3" fillId="3" borderId="0" xfId="0" applyNumberFormat="1" applyFont="1" applyFill="1"/>
    <xf numFmtId="167" fontId="3" fillId="3" borderId="0" xfId="0" applyNumberFormat="1" applyFont="1" applyFill="1"/>
    <xf numFmtId="167" fontId="7" fillId="2" borderId="0" xfId="0" applyNumberFormat="1" applyFont="1" applyFill="1"/>
    <xf numFmtId="167" fontId="3" fillId="3" borderId="1" xfId="0" applyNumberFormat="1" applyFont="1" applyFill="1" applyBorder="1"/>
    <xf numFmtId="0" fontId="7" fillId="2" borderId="0" xfId="0" applyFont="1" applyFill="1"/>
    <xf numFmtId="0" fontId="8" fillId="2" borderId="0" xfId="0" applyFont="1" applyFill="1"/>
    <xf numFmtId="0" fontId="9" fillId="2" borderId="0" xfId="0" applyFont="1" applyFill="1"/>
    <xf numFmtId="167" fontId="9" fillId="2" borderId="0" xfId="0" applyNumberFormat="1" applyFont="1" applyFill="1"/>
    <xf numFmtId="167" fontId="10" fillId="3" borderId="1" xfId="0" applyNumberFormat="1" applyFont="1" applyFill="1" applyBorder="1"/>
    <xf numFmtId="167" fontId="3" fillId="3" borderId="0" xfId="0" applyNumberFormat="1" applyFont="1" applyFill="1" applyBorder="1"/>
    <xf numFmtId="165" fontId="8" fillId="2" borderId="0" xfId="0" applyNumberFormat="1" applyFont="1" applyFill="1"/>
    <xf numFmtId="167" fontId="11" fillId="3" borderId="0" xfId="0" applyNumberFormat="1" applyFont="1" applyFill="1"/>
    <xf numFmtId="0" fontId="11" fillId="3" borderId="0" xfId="0" applyFont="1" applyFill="1"/>
    <xf numFmtId="0" fontId="10" fillId="3" borderId="0" xfId="0" applyFont="1" applyFill="1"/>
    <xf numFmtId="0" fontId="10" fillId="3" borderId="0" xfId="0" applyFont="1" applyFill="1" applyAlignment="1">
      <alignment horizontal="right"/>
    </xf>
    <xf numFmtId="14" fontId="7" fillId="2" borderId="0" xfId="0" applyNumberFormat="1" applyFont="1" applyFill="1"/>
    <xf numFmtId="0" fontId="7" fillId="4" borderId="0" xfId="0" applyFont="1" applyFill="1"/>
    <xf numFmtId="0" fontId="2" fillId="2" borderId="0" xfId="0" applyFont="1" applyFill="1" applyAlignment="1"/>
    <xf numFmtId="0" fontId="7" fillId="4" borderId="0" xfId="0" applyFont="1" applyFill="1" applyAlignment="1">
      <alignment vertical="top"/>
    </xf>
    <xf numFmtId="0" fontId="14" fillId="5" borderId="2" xfId="0" applyFont="1" applyFill="1" applyBorder="1"/>
    <xf numFmtId="0" fontId="14" fillId="5" borderId="3" xfId="0" applyFont="1" applyFill="1" applyBorder="1"/>
    <xf numFmtId="0" fontId="14" fillId="5" borderId="3" xfId="0" applyFont="1" applyFill="1" applyBorder="1" applyAlignment="1">
      <alignment horizontal="center"/>
    </xf>
    <xf numFmtId="0" fontId="14" fillId="5" borderId="4" xfId="0" applyFont="1" applyFill="1" applyBorder="1"/>
    <xf numFmtId="0" fontId="0" fillId="0" borderId="0" xfId="0" applyFill="1"/>
    <xf numFmtId="0" fontId="16" fillId="5" borderId="1" xfId="0" applyFont="1" applyFill="1" applyBorder="1"/>
    <xf numFmtId="0" fontId="16" fillId="5" borderId="6" xfId="0" applyFont="1" applyFill="1" applyBorder="1"/>
    <xf numFmtId="0" fontId="15" fillId="0" borderId="0" xfId="0" applyFont="1" applyFill="1"/>
    <xf numFmtId="0" fontId="17" fillId="0" borderId="0" xfId="3" applyFill="1"/>
    <xf numFmtId="0" fontId="0" fillId="0" borderId="0" xfId="0" applyFill="1" applyAlignment="1">
      <alignment horizontal="center"/>
    </xf>
    <xf numFmtId="0" fontId="18" fillId="0" borderId="0" xfId="0" applyFont="1" applyFill="1" applyAlignment="1">
      <alignment horizontal="center"/>
    </xf>
    <xf numFmtId="0" fontId="18" fillId="0" borderId="0" xfId="0" applyFont="1" applyFill="1"/>
    <xf numFmtId="0" fontId="18" fillId="0" borderId="0" xfId="0" applyFont="1" applyFill="1" applyAlignment="1">
      <alignment horizontal="left"/>
    </xf>
    <xf numFmtId="168" fontId="0" fillId="0" borderId="0" xfId="0" applyNumberFormat="1" applyFill="1" applyAlignment="1">
      <alignment horizontal="center"/>
    </xf>
    <xf numFmtId="0" fontId="0" fillId="0" borderId="0" xfId="0" applyFont="1" applyFill="1"/>
    <xf numFmtId="165" fontId="2" fillId="2" borderId="0" xfId="0" applyNumberFormat="1" applyFont="1" applyFill="1" applyAlignment="1">
      <alignment horizontal="right"/>
    </xf>
    <xf numFmtId="167" fontId="2" fillId="2" borderId="0" xfId="0" applyNumberFormat="1" applyFont="1" applyFill="1" applyAlignment="1">
      <alignment horizontal="right"/>
    </xf>
    <xf numFmtId="167" fontId="4" fillId="2" borderId="0" xfId="0" applyNumberFormat="1" applyFont="1" applyFill="1" applyAlignment="1">
      <alignment horizontal="right"/>
    </xf>
    <xf numFmtId="167" fontId="7" fillId="0" borderId="0" xfId="0" applyNumberFormat="1" applyFont="1" applyFill="1"/>
    <xf numFmtId="169" fontId="2" fillId="2" borderId="0" xfId="0" applyNumberFormat="1" applyFont="1" applyFill="1"/>
    <xf numFmtId="166" fontId="2" fillId="2" borderId="0" xfId="0" applyNumberFormat="1" applyFont="1" applyFill="1" applyAlignment="1">
      <alignment horizontal="right"/>
    </xf>
    <xf numFmtId="0" fontId="0" fillId="0" borderId="0" xfId="0" applyFill="1" applyAlignment="1">
      <alignment horizontal="left"/>
    </xf>
    <xf numFmtId="0" fontId="19" fillId="2" borderId="0" xfId="0" applyFont="1" applyFill="1"/>
    <xf numFmtId="14" fontId="3" fillId="3" borderId="0" xfId="0" applyNumberFormat="1" applyFont="1" applyFill="1" applyAlignment="1">
      <alignment vertical="top" wrapText="1"/>
    </xf>
    <xf numFmtId="167" fontId="20" fillId="2" borderId="0" xfId="0" applyNumberFormat="1" applyFont="1" applyFill="1"/>
    <xf numFmtId="0" fontId="21" fillId="2" borderId="0" xfId="0" applyFont="1" applyFill="1" applyAlignment="1">
      <alignment horizontal="centerContinuous"/>
    </xf>
    <xf numFmtId="167" fontId="22" fillId="2" borderId="0" xfId="0" applyNumberFormat="1" applyFont="1" applyFill="1"/>
    <xf numFmtId="0" fontId="2" fillId="2" borderId="0" xfId="0" applyFont="1" applyFill="1" applyAlignment="1">
      <alignment horizontal="center"/>
    </xf>
    <xf numFmtId="0" fontId="2" fillId="2" borderId="0" xfId="0" applyFont="1" applyFill="1" applyAlignment="1">
      <alignment horizontal="right"/>
    </xf>
    <xf numFmtId="3" fontId="7" fillId="2" borderId="0" xfId="0" applyNumberFormat="1" applyFont="1" applyFill="1"/>
    <xf numFmtId="3" fontId="8" fillId="2" borderId="0" xfId="0" applyNumberFormat="1" applyFont="1" applyFill="1"/>
    <xf numFmtId="3" fontId="9" fillId="2" borderId="0" xfId="0" applyNumberFormat="1" applyFont="1" applyFill="1"/>
    <xf numFmtId="3" fontId="2" fillId="2" borderId="0" xfId="0" applyNumberFormat="1" applyFont="1" applyFill="1"/>
    <xf numFmtId="170" fontId="2" fillId="2" borderId="0" xfId="0" applyNumberFormat="1" applyFont="1" applyFill="1"/>
    <xf numFmtId="0" fontId="23" fillId="2" borderId="0" xfId="0" applyFont="1" applyFill="1"/>
    <xf numFmtId="0" fontId="24" fillId="2" borderId="0" xfId="0" applyFont="1" applyFill="1"/>
    <xf numFmtId="169" fontId="7" fillId="2" borderId="0" xfId="0" applyNumberFormat="1" applyFont="1" applyFill="1"/>
    <xf numFmtId="167" fontId="7" fillId="2" borderId="0" xfId="0" applyNumberFormat="1" applyFont="1" applyFill="1" applyAlignment="1">
      <alignment horizontal="right"/>
    </xf>
    <xf numFmtId="37" fontId="23" fillId="2" borderId="0" xfId="0" applyNumberFormat="1" applyFont="1" applyFill="1"/>
    <xf numFmtId="166" fontId="4" fillId="2" borderId="0" xfId="0" applyNumberFormat="1" applyFont="1" applyFill="1" applyAlignment="1">
      <alignment horizontal="right"/>
    </xf>
    <xf numFmtId="167" fontId="5" fillId="2" borderId="0" xfId="0" applyNumberFormat="1" applyFont="1" applyFill="1" applyAlignment="1">
      <alignment horizontal="right"/>
    </xf>
    <xf numFmtId="167" fontId="20" fillId="2" borderId="0" xfId="0" applyNumberFormat="1" applyFont="1" applyFill="1" applyAlignment="1">
      <alignment horizontal="right"/>
    </xf>
    <xf numFmtId="165" fontId="4" fillId="2" borderId="0" xfId="0" applyNumberFormat="1" applyFont="1" applyFill="1" applyAlignment="1">
      <alignment horizontal="right"/>
    </xf>
    <xf numFmtId="0" fontId="27" fillId="2" borderId="0" xfId="0" applyFont="1" applyFill="1"/>
    <xf numFmtId="0" fontId="7" fillId="2" borderId="3" xfId="0" applyFont="1" applyFill="1" applyBorder="1"/>
    <xf numFmtId="167" fontId="7" fillId="2" borderId="3" xfId="0" applyNumberFormat="1" applyFont="1" applyFill="1" applyBorder="1"/>
    <xf numFmtId="0" fontId="7" fillId="2" borderId="1" xfId="0" applyFont="1" applyFill="1" applyBorder="1"/>
    <xf numFmtId="0" fontId="7" fillId="2" borderId="1" xfId="0" applyFont="1" applyFill="1" applyBorder="1" applyAlignment="1">
      <alignment horizontal="right"/>
    </xf>
    <xf numFmtId="167" fontId="7" fillId="2" borderId="1" xfId="0" applyNumberFormat="1" applyFont="1" applyFill="1" applyBorder="1"/>
    <xf numFmtId="0" fontId="28" fillId="0" borderId="0" xfId="0" applyFont="1"/>
    <xf numFmtId="167" fontId="2" fillId="0" borderId="0" xfId="0" applyNumberFormat="1" applyFont="1" applyFill="1"/>
    <xf numFmtId="37" fontId="8" fillId="2" borderId="0" xfId="0" applyNumberFormat="1" applyFont="1" applyFill="1"/>
    <xf numFmtId="37" fontId="2" fillId="2" borderId="7" xfId="0" applyNumberFormat="1" applyFont="1" applyFill="1" applyBorder="1"/>
    <xf numFmtId="167" fontId="2" fillId="2" borderId="7" xfId="0" applyNumberFormat="1" applyFont="1" applyFill="1" applyBorder="1"/>
    <xf numFmtId="167" fontId="29" fillId="2" borderId="0" xfId="0" applyNumberFormat="1" applyFont="1" applyFill="1" applyBorder="1"/>
    <xf numFmtId="0" fontId="0" fillId="2" borderId="0" xfId="0" applyFill="1"/>
    <xf numFmtId="0" fontId="22" fillId="5" borderId="5" xfId="2" applyFont="1" applyFill="1" applyBorder="1" applyAlignment="1">
      <alignment horizontal="center" wrapText="1"/>
    </xf>
    <xf numFmtId="0" fontId="22" fillId="5" borderId="1" xfId="2" applyFont="1" applyFill="1" applyBorder="1" applyAlignment="1">
      <alignment horizontal="center" wrapText="1"/>
    </xf>
    <xf numFmtId="0" fontId="17" fillId="0" borderId="0" xfId="3" applyFont="1" applyFill="1"/>
    <xf numFmtId="0" fontId="0" fillId="0" borderId="0" xfId="0" applyFont="1" applyFill="1" applyAlignment="1">
      <alignment horizontal="center"/>
    </xf>
    <xf numFmtId="0" fontId="2" fillId="0" borderId="0" xfId="0" applyFont="1" applyFill="1" applyAlignment="1">
      <alignment horizontal="center"/>
    </xf>
    <xf numFmtId="0" fontId="2" fillId="0" borderId="0" xfId="0" applyFont="1" applyFill="1" applyAlignment="1">
      <alignment horizontal="left"/>
    </xf>
    <xf numFmtId="14" fontId="0" fillId="0" borderId="0" xfId="0" applyNumberFormat="1" applyFont="1" applyFill="1"/>
    <xf numFmtId="168" fontId="0" fillId="0" borderId="0" xfId="0" applyNumberFormat="1" applyFont="1" applyFill="1" applyAlignment="1">
      <alignment horizontal="center"/>
    </xf>
    <xf numFmtId="0" fontId="0" fillId="6" borderId="0" xfId="0" applyFont="1" applyFill="1"/>
    <xf numFmtId="0" fontId="2" fillId="0" borderId="0" xfId="0" applyFont="1" applyFill="1"/>
    <xf numFmtId="0" fontId="17" fillId="0" borderId="0" xfId="3" applyFont="1"/>
    <xf numFmtId="0" fontId="22" fillId="0" borderId="0" xfId="2" applyFont="1" applyFill="1" applyBorder="1" applyAlignment="1">
      <alignment horizontal="center" wrapText="1"/>
    </xf>
    <xf numFmtId="0" fontId="0" fillId="2" borderId="0" xfId="0" applyFont="1" applyFill="1"/>
    <xf numFmtId="0" fontId="15" fillId="2" borderId="0" xfId="0" applyFont="1" applyFill="1"/>
    <xf numFmtId="0" fontId="25" fillId="2" borderId="0" xfId="0" applyFont="1" applyFill="1"/>
    <xf numFmtId="16" fontId="0" fillId="0" borderId="0" xfId="0" applyNumberFormat="1" applyFill="1" applyAlignment="1">
      <alignment horizontal="center"/>
    </xf>
    <xf numFmtId="0" fontId="0" fillId="6" borderId="0" xfId="0" applyFont="1" applyFill="1" applyAlignment="1">
      <alignment horizontal="center"/>
    </xf>
    <xf numFmtId="0" fontId="15" fillId="6" borderId="0" xfId="0" applyFont="1" applyFill="1"/>
    <xf numFmtId="165" fontId="10" fillId="3" borderId="0" xfId="4" applyNumberFormat="1" applyFont="1" applyFill="1" applyAlignment="1">
      <alignment horizontal="right"/>
    </xf>
    <xf numFmtId="0" fontId="17" fillId="2" borderId="0" xfId="3" applyFont="1" applyFill="1"/>
    <xf numFmtId="167" fontId="8" fillId="2" borderId="0" xfId="0" applyNumberFormat="1" applyFont="1" applyFill="1"/>
    <xf numFmtId="0" fontId="17" fillId="0" borderId="0" xfId="3"/>
    <xf numFmtId="0" fontId="0" fillId="7" borderId="0" xfId="0" applyFont="1" applyFill="1" applyAlignment="1">
      <alignment horizontal="center"/>
    </xf>
    <xf numFmtId="0" fontId="15" fillId="7" borderId="0" xfId="0" applyFont="1" applyFill="1"/>
    <xf numFmtId="9" fontId="7" fillId="2" borderId="0" xfId="4" applyFont="1" applyFill="1"/>
    <xf numFmtId="0" fontId="31" fillId="2" borderId="0" xfId="0" applyFont="1" applyFill="1"/>
    <xf numFmtId="171" fontId="8" fillId="2" borderId="0" xfId="0" applyNumberFormat="1" applyFont="1" applyFill="1"/>
    <xf numFmtId="172" fontId="8" fillId="2" borderId="0" xfId="0" applyNumberFormat="1" applyFont="1" applyFill="1"/>
    <xf numFmtId="170" fontId="8" fillId="2" borderId="0" xfId="0" applyNumberFormat="1" applyFont="1" applyFill="1"/>
    <xf numFmtId="173" fontId="2" fillId="2" borderId="0" xfId="0" applyNumberFormat="1" applyFont="1" applyFill="1"/>
    <xf numFmtId="0" fontId="17" fillId="2" borderId="0" xfId="3" applyFill="1"/>
    <xf numFmtId="167" fontId="22" fillId="2" borderId="0" xfId="0" applyNumberFormat="1" applyFont="1" applyFill="1" applyAlignment="1">
      <alignment horizontal="right"/>
    </xf>
    <xf numFmtId="165" fontId="10" fillId="3" borderId="0" xfId="0" applyNumberFormat="1" applyFont="1" applyFill="1" applyAlignment="1">
      <alignment horizontal="right"/>
    </xf>
    <xf numFmtId="14" fontId="15" fillId="2" borderId="0" xfId="0" applyNumberFormat="1" applyFont="1" applyFill="1"/>
    <xf numFmtId="0" fontId="2" fillId="4" borderId="0" xfId="0" applyFont="1" applyFill="1" applyAlignment="1">
      <alignment horizontal="center"/>
    </xf>
    <xf numFmtId="39" fontId="2" fillId="2" borderId="0" xfId="0" applyNumberFormat="1" applyFont="1" applyFill="1"/>
    <xf numFmtId="174" fontId="2" fillId="2" borderId="0" xfId="0" applyNumberFormat="1" applyFont="1" applyFill="1"/>
    <xf numFmtId="175" fontId="2" fillId="2" borderId="0" xfId="0" applyNumberFormat="1" applyFont="1" applyFill="1"/>
    <xf numFmtId="0" fontId="0" fillId="2" borderId="0" xfId="0" applyFont="1" applyFill="1" applyAlignment="1">
      <alignment horizontal="center"/>
    </xf>
    <xf numFmtId="165" fontId="9" fillId="2" borderId="0" xfId="0" applyNumberFormat="1" applyFont="1" applyFill="1"/>
    <xf numFmtId="0" fontId="5" fillId="2" borderId="0" xfId="0" applyFont="1" applyFill="1"/>
    <xf numFmtId="166" fontId="32" fillId="2" borderId="0" xfId="0" applyNumberFormat="1" applyFont="1" applyFill="1" applyAlignment="1">
      <alignment horizontal="right"/>
    </xf>
    <xf numFmtId="165" fontId="32" fillId="2" borderId="0" xfId="0" applyNumberFormat="1" applyFont="1" applyFill="1" applyAlignment="1">
      <alignment horizontal="right"/>
    </xf>
    <xf numFmtId="167" fontId="31" fillId="2" borderId="0" xfId="0" applyNumberFormat="1" applyFont="1" applyFill="1" applyAlignment="1">
      <alignment horizontal="right"/>
    </xf>
  </cellXfs>
  <cellStyles count="5">
    <cellStyle name="Hyperlink" xfId="3" builtinId="8"/>
    <cellStyle name="Normal" xfId="0" builtinId="0"/>
    <cellStyle name="Normal 2 2 2" xfId="1" xr:uid="{00000000-0005-0000-0000-000002000000}"/>
    <cellStyle name="Normal 21" xfId="2" xr:uid="{00000000-0005-0000-0000-000003000000}"/>
    <cellStyle name="Percent" xfId="4" builtinId="5"/>
  </cellStyles>
  <dxfs count="795">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colors>
    <mruColors>
      <color rgb="FF0000FF"/>
      <color rgb="FFCCFF33"/>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investor.wsg.cn/investor-relations" TargetMode="External"/><Relationship Id="rId1" Type="http://schemas.openxmlformats.org/officeDocument/2006/relationships/hyperlink" Target="https://www.fluidra.com/en/regulatory-filing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048008"/>
  <sheetViews>
    <sheetView showGridLines="0" tabSelected="1" zoomScale="85" zoomScaleNormal="85" workbookViewId="0">
      <pane xSplit="1" ySplit="2" topLeftCell="D44" activePane="bottomRight" state="frozen"/>
      <selection activeCell="M45" sqref="M45"/>
      <selection pane="topRight" activeCell="M45" sqref="M45"/>
      <selection pane="bottomLeft" activeCell="M45" sqref="M45"/>
      <selection pane="bottomRight" activeCell="P61" sqref="P61"/>
    </sheetView>
  </sheetViews>
  <sheetFormatPr defaultRowHeight="15" outlineLevelCol="1" x14ac:dyDescent="0.25"/>
  <cols>
    <col min="1" max="1" width="27" style="51" bestFit="1" customWidth="1"/>
    <col min="2" max="2" width="26.7109375" style="51" hidden="1" customWidth="1" outlineLevel="1"/>
    <col min="3" max="3" width="35.140625" style="51" hidden="1" customWidth="1" outlineLevel="1"/>
    <col min="4" max="4" width="21.42578125" style="131" customWidth="1" collapsed="1"/>
    <col min="5" max="5" width="10.7109375" style="51" customWidth="1"/>
    <col min="6" max="6" width="16.7109375" style="51" hidden="1" customWidth="1" outlineLevel="1"/>
    <col min="7" max="7" width="32.28515625" style="51" hidden="1" customWidth="1" outlineLevel="1"/>
    <col min="8" max="8" width="40.7109375" style="51" customWidth="1" collapsed="1"/>
    <col min="9" max="9" width="40.7109375" style="51" customWidth="1"/>
    <col min="10" max="10" width="16.28515625" style="51" customWidth="1"/>
    <col min="11" max="11" width="12.140625" style="51" hidden="1" customWidth="1" outlineLevel="1"/>
    <col min="12" max="12" width="12.140625" style="41" customWidth="1" collapsed="1"/>
    <col min="13" max="14" width="12.140625" style="41" customWidth="1"/>
    <col min="15" max="15" width="10.28515625" style="96" customWidth="1"/>
    <col min="16" max="16" width="86.5703125" style="51" bestFit="1" customWidth="1"/>
    <col min="17" max="17" width="45.5703125" style="105" bestFit="1" customWidth="1"/>
    <col min="18" max="23" width="9.140625" style="51"/>
    <col min="24" max="24" width="9.5703125" style="51" bestFit="1" customWidth="1"/>
    <col min="25" max="26" width="9.5703125" style="51" customWidth="1"/>
    <col min="27" max="27" width="9.85546875" style="51" bestFit="1" customWidth="1"/>
    <col min="28" max="28" width="11.28515625" style="51" customWidth="1"/>
    <col min="29" max="31" width="9.85546875" style="51" bestFit="1" customWidth="1"/>
    <col min="32" max="32" width="10.85546875" style="51" bestFit="1" customWidth="1"/>
    <col min="33" max="34" width="9.85546875" style="51" bestFit="1" customWidth="1"/>
    <col min="35" max="16384" width="9.140625" style="51"/>
  </cols>
  <sheetData>
    <row r="1" spans="1:36" x14ac:dyDescent="0.25">
      <c r="A1" s="37"/>
      <c r="B1" s="38"/>
      <c r="C1" s="39" t="s">
        <v>46</v>
      </c>
      <c r="D1" s="39"/>
      <c r="E1" s="39" t="s">
        <v>47</v>
      </c>
      <c r="F1" s="39" t="s">
        <v>48</v>
      </c>
      <c r="G1" s="39"/>
      <c r="H1" s="39"/>
      <c r="I1" s="39" t="s">
        <v>282</v>
      </c>
      <c r="J1" s="39" t="s">
        <v>49</v>
      </c>
      <c r="K1" s="38"/>
      <c r="L1" s="38"/>
      <c r="M1" s="38"/>
      <c r="N1" s="38"/>
      <c r="O1" s="39" t="s">
        <v>283</v>
      </c>
      <c r="P1" s="40"/>
      <c r="Q1" s="40"/>
      <c r="Y1" s="99"/>
      <c r="Z1" s="99"/>
      <c r="AA1" s="99"/>
      <c r="AB1" s="99"/>
      <c r="AC1" s="99"/>
      <c r="AD1" s="99"/>
      <c r="AE1" s="99"/>
      <c r="AF1" s="99"/>
      <c r="AG1" s="99"/>
      <c r="AJ1" s="51">
        <f>COUNTA(sheets)</f>
        <v>1</v>
      </c>
    </row>
    <row r="2" spans="1:36" s="44" customFormat="1" x14ac:dyDescent="0.25">
      <c r="A2" s="93" t="s">
        <v>51</v>
      </c>
      <c r="B2" s="94" t="s">
        <v>52</v>
      </c>
      <c r="C2" s="94" t="s">
        <v>53</v>
      </c>
      <c r="D2" s="94" t="s">
        <v>54</v>
      </c>
      <c r="E2" s="94" t="s">
        <v>38</v>
      </c>
      <c r="F2" s="94" t="s">
        <v>37</v>
      </c>
      <c r="G2" s="94" t="s">
        <v>55</v>
      </c>
      <c r="H2" s="94" t="s">
        <v>56</v>
      </c>
      <c r="I2" s="94" t="s">
        <v>281</v>
      </c>
      <c r="J2" s="94" t="s">
        <v>41</v>
      </c>
      <c r="K2" s="42" t="s">
        <v>60</v>
      </c>
      <c r="L2" s="42" t="s">
        <v>270</v>
      </c>
      <c r="M2" s="42" t="s">
        <v>271</v>
      </c>
      <c r="N2" s="42" t="s">
        <v>272</v>
      </c>
      <c r="O2" s="94" t="s">
        <v>50</v>
      </c>
      <c r="P2" s="43" t="s">
        <v>0</v>
      </c>
      <c r="Q2" s="43" t="s">
        <v>273</v>
      </c>
      <c r="T2" s="51"/>
      <c r="V2" s="51"/>
    </row>
    <row r="3" spans="1:36" x14ac:dyDescent="0.25">
      <c r="A3" s="95" t="s">
        <v>152</v>
      </c>
      <c r="B3" s="51" t="s">
        <v>152</v>
      </c>
      <c r="C3" s="51" t="str">
        <f t="shared" ref="C3:C14" ca="1" si="0">INDIRECT("'"&amp;B3&amp;"'!"&amp;$C$1)</f>
        <v>1-800 Contacts</v>
      </c>
      <c r="D3" s="131" t="s">
        <v>66</v>
      </c>
      <c r="E3" s="97">
        <f t="shared" ref="E3:E14" ca="1" si="1">IF(INDIRECT("'"&amp;B3&amp;"'!"&amp;$E$1)="","-",INDIRECT("'"&amp;B3&amp;"'!"&amp;$E$1))</f>
        <v>3</v>
      </c>
      <c r="F3" s="97" t="str">
        <f t="shared" ref="F3:F14" ca="1" si="2">IF(INDIRECT("'"&amp;B3&amp;"'!"&amp;$F$1)="","-",INDIRECT("'"&amp;B3&amp;"'!"&amp;$F$1))</f>
        <v>Credit Suisse</v>
      </c>
      <c r="G3" s="51" t="s">
        <v>153</v>
      </c>
      <c r="H3" s="51" t="s">
        <v>65</v>
      </c>
      <c r="I3" s="49" t="str">
        <f t="shared" ref="I3:I10" ca="1" si="3">IF(INDIRECT("'"&amp;A3&amp;"'!"&amp;$I$1)="","-",INDIRECT("'"&amp;A3&amp;"'!"&amp;$I$1))</f>
        <v>AEA Investors</v>
      </c>
      <c r="J3" s="98" t="str">
        <f ca="1">INDIRECT("'"&amp;A3&amp;"'!"&amp;$J$1)</f>
        <v>Michael Sorna</v>
      </c>
      <c r="K3" s="96" t="s">
        <v>60</v>
      </c>
      <c r="L3" s="46" t="s">
        <v>275</v>
      </c>
      <c r="M3" s="100">
        <v>44349</v>
      </c>
      <c r="N3" s="100">
        <v>44357</v>
      </c>
      <c r="O3" s="100">
        <f t="shared" ref="O3:O10" ca="1" si="4">IF(K3="done",INDIRECT("'"&amp;A3&amp;"'!"&amp;$O$1),"")</f>
        <v>44286</v>
      </c>
      <c r="P3" s="106" t="s">
        <v>647</v>
      </c>
    </row>
    <row r="4" spans="1:36" s="41" customFormat="1" ht="15" customHeight="1" x14ac:dyDescent="0.25">
      <c r="A4" s="45" t="s">
        <v>533</v>
      </c>
      <c r="B4" s="51" t="s">
        <v>533</v>
      </c>
      <c r="C4" s="51" t="str">
        <f t="shared" ca="1" si="0"/>
        <v>Adevinta</v>
      </c>
      <c r="D4" s="131"/>
      <c r="E4" s="97">
        <f t="shared" ca="1" si="1"/>
        <v>3</v>
      </c>
      <c r="F4" s="97" t="str">
        <f t="shared" ca="1" si="2"/>
        <v>BARC, CITI</v>
      </c>
      <c r="G4" s="51" t="s">
        <v>101</v>
      </c>
      <c r="H4" s="51" t="s">
        <v>94</v>
      </c>
      <c r="I4" s="51" t="str">
        <f t="shared" ca="1" si="3"/>
        <v xml:space="preserve">Public </v>
      </c>
      <c r="J4" s="98" t="str">
        <f ca="1">IF(INDIRECT("'"&amp;B4&amp;"'!"&amp;$J$1)="","-",INDIRECT("'"&amp;B4&amp;"'!"&amp;$J$1))</f>
        <v>Michael Sorna</v>
      </c>
      <c r="K4" s="96" t="s">
        <v>60</v>
      </c>
      <c r="L4" s="46" t="s">
        <v>275</v>
      </c>
      <c r="M4" s="100">
        <v>44238</v>
      </c>
      <c r="N4" s="100">
        <v>44239</v>
      </c>
      <c r="O4" s="100">
        <f t="shared" ca="1" si="4"/>
        <v>44196</v>
      </c>
      <c r="P4" s="106" t="s">
        <v>526</v>
      </c>
      <c r="Q4" s="105"/>
      <c r="R4" s="51"/>
      <c r="S4" s="51"/>
      <c r="T4" s="51"/>
      <c r="U4" s="51"/>
      <c r="V4" s="51"/>
      <c r="W4" s="51"/>
      <c r="X4" s="51"/>
      <c r="Y4" s="51"/>
      <c r="Z4" s="51"/>
      <c r="AA4" s="51"/>
      <c r="AB4" s="51"/>
      <c r="AC4" s="51"/>
      <c r="AD4" s="51"/>
      <c r="AE4" s="51"/>
      <c r="AF4" s="51"/>
      <c r="AG4" s="51"/>
      <c r="AH4" s="51"/>
      <c r="AI4" s="51"/>
      <c r="AJ4" s="51"/>
    </row>
    <row r="5" spans="1:36" x14ac:dyDescent="0.25">
      <c r="A5" s="114" t="s">
        <v>336</v>
      </c>
      <c r="B5" s="51" t="s">
        <v>336</v>
      </c>
      <c r="C5" s="51" t="str">
        <f t="shared" ca="1" si="0"/>
        <v>Aimbridge Hospitality</v>
      </c>
      <c r="D5" s="131" t="s">
        <v>467</v>
      </c>
      <c r="E5" s="97">
        <f t="shared" ca="1" si="1"/>
        <v>3</v>
      </c>
      <c r="F5" s="97" t="str">
        <f t="shared" ca="1" si="2"/>
        <v>JP Morgan Chase</v>
      </c>
      <c r="G5" s="51" t="s">
        <v>262</v>
      </c>
      <c r="H5" s="51" t="s">
        <v>59</v>
      </c>
      <c r="I5" s="51" t="str">
        <f t="shared" ca="1" si="3"/>
        <v>Advent International</v>
      </c>
      <c r="J5" s="98" t="str">
        <f ca="1">IF(INDIRECT("'"&amp;B5&amp;"'!"&amp;$J$1)="","-",INDIRECT("'"&amp;B5&amp;"'!"&amp;$J$1))</f>
        <v>Michael Sorna</v>
      </c>
      <c r="K5" s="96" t="s">
        <v>60</v>
      </c>
      <c r="L5" s="46" t="s">
        <v>275</v>
      </c>
      <c r="M5" s="100">
        <v>44349</v>
      </c>
      <c r="N5" s="100">
        <v>44360</v>
      </c>
      <c r="O5" s="100">
        <f t="shared" ca="1" si="4"/>
        <v>44286</v>
      </c>
      <c r="P5" s="106" t="s">
        <v>649</v>
      </c>
      <c r="R5" s="41"/>
      <c r="S5" s="41"/>
      <c r="T5" s="41"/>
      <c r="U5" s="41"/>
      <c r="V5" s="41"/>
      <c r="W5" s="41"/>
      <c r="X5" s="41"/>
      <c r="Y5" s="41"/>
      <c r="Z5" s="41"/>
      <c r="AA5" s="41"/>
      <c r="AB5" s="41"/>
      <c r="AC5" s="41"/>
      <c r="AD5" s="41"/>
      <c r="AE5" s="41"/>
      <c r="AF5" s="41"/>
      <c r="AG5" s="41"/>
      <c r="AH5" s="41"/>
      <c r="AI5" s="41"/>
      <c r="AJ5" s="41"/>
    </row>
    <row r="6" spans="1:36" s="41" customFormat="1" x14ac:dyDescent="0.25">
      <c r="A6" s="45" t="s">
        <v>534</v>
      </c>
      <c r="B6" s="51" t="s">
        <v>534</v>
      </c>
      <c r="C6" s="51" t="str">
        <f t="shared" ca="1" si="0"/>
        <v>Alliance Laundry</v>
      </c>
      <c r="D6" s="131"/>
      <c r="E6" s="97">
        <f t="shared" ca="1" si="1"/>
        <v>2</v>
      </c>
      <c r="F6" s="97" t="str">
        <f t="shared" ca="1" si="2"/>
        <v>UBS</v>
      </c>
      <c r="G6" s="51" t="s">
        <v>535</v>
      </c>
      <c r="H6" s="51" t="s">
        <v>72</v>
      </c>
      <c r="I6" s="51" t="str">
        <f t="shared" ca="1" si="3"/>
        <v>BDT Capital Partners</v>
      </c>
      <c r="J6" s="98" t="str">
        <f ca="1">IF(INDIRECT("'"&amp;B6&amp;"'!"&amp;$J$1)="","-",INDIRECT("'"&amp;B6&amp;"'!"&amp;$J$1))</f>
        <v>Michael Sorna</v>
      </c>
      <c r="K6" s="96" t="s">
        <v>60</v>
      </c>
      <c r="L6" s="46" t="s">
        <v>275</v>
      </c>
      <c r="M6" s="100">
        <v>44418</v>
      </c>
      <c r="N6" s="100">
        <v>44441</v>
      </c>
      <c r="O6" s="100">
        <f t="shared" ca="1" si="4"/>
        <v>44377</v>
      </c>
      <c r="P6" s="106" t="s">
        <v>689</v>
      </c>
      <c r="Q6" s="105"/>
      <c r="R6" s="51"/>
      <c r="S6" s="51"/>
      <c r="T6" s="51"/>
      <c r="U6" s="51"/>
      <c r="V6" s="51"/>
      <c r="W6" s="51"/>
      <c r="X6" s="51"/>
      <c r="Y6" s="51"/>
      <c r="Z6" s="51"/>
      <c r="AA6" s="51"/>
      <c r="AB6" s="51"/>
      <c r="AC6" s="51"/>
      <c r="AD6" s="51"/>
      <c r="AE6" s="51"/>
      <c r="AF6" s="51"/>
      <c r="AG6" s="51"/>
      <c r="AH6" s="51"/>
      <c r="AI6" s="51"/>
      <c r="AJ6" s="51"/>
    </row>
    <row r="7" spans="1:36" x14ac:dyDescent="0.25">
      <c r="A7" s="114" t="s">
        <v>156</v>
      </c>
      <c r="B7" s="41" t="s">
        <v>156</v>
      </c>
      <c r="C7" s="51" t="str">
        <f t="shared" ca="1" si="0"/>
        <v>American Greetings</v>
      </c>
      <c r="D7" s="131" t="s">
        <v>57</v>
      </c>
      <c r="E7" s="97" t="str">
        <f t="shared" ca="1" si="1"/>
        <v>-</v>
      </c>
      <c r="F7" s="97" t="str">
        <f t="shared" ca="1" si="2"/>
        <v>Barclays Bank</v>
      </c>
      <c r="G7" s="41" t="s">
        <v>362</v>
      </c>
      <c r="H7" s="41" t="s">
        <v>363</v>
      </c>
      <c r="I7" s="49" t="str">
        <f t="shared" ca="1" si="3"/>
        <v>CD&amp;R</v>
      </c>
      <c r="J7" s="98" t="str">
        <f ca="1">INDIRECT("'"&amp;A7&amp;"'!"&amp;$J$1)</f>
        <v>Michael Sorna</v>
      </c>
      <c r="K7" s="96" t="s">
        <v>60</v>
      </c>
      <c r="L7" s="46" t="s">
        <v>275</v>
      </c>
      <c r="M7" s="100">
        <v>44337</v>
      </c>
      <c r="N7" s="100">
        <v>44355</v>
      </c>
      <c r="O7" s="100">
        <f t="shared" ca="1" si="4"/>
        <v>44255</v>
      </c>
      <c r="P7" s="106" t="s">
        <v>644</v>
      </c>
      <c r="Q7" s="92"/>
    </row>
    <row r="8" spans="1:36" s="41" customFormat="1" x14ac:dyDescent="0.25">
      <c r="A8" s="45" t="s">
        <v>537</v>
      </c>
      <c r="B8" s="51" t="s">
        <v>537</v>
      </c>
      <c r="C8" s="51" t="str">
        <f t="shared" ca="1" si="0"/>
        <v>American Residential</v>
      </c>
      <c r="D8" s="131" t="s">
        <v>57</v>
      </c>
      <c r="E8" s="97">
        <f t="shared" ca="1" si="1"/>
        <v>3</v>
      </c>
      <c r="F8" s="97" t="str">
        <f t="shared" ca="1" si="2"/>
        <v>JPM</v>
      </c>
      <c r="G8" s="51" t="s">
        <v>538</v>
      </c>
      <c r="H8" s="51" t="s">
        <v>94</v>
      </c>
      <c r="I8" s="51" t="str">
        <f t="shared" ca="1" si="3"/>
        <v>GI Partners / Charlesbank Capital Partners</v>
      </c>
      <c r="J8" s="98" t="str">
        <f ca="1">IF(INDIRECT("'"&amp;B8&amp;"'!"&amp;$J$1)="","-",INDIRECT("'"&amp;B8&amp;"'!"&amp;$J$1))</f>
        <v>Michael Sorna</v>
      </c>
      <c r="K8" s="96" t="s">
        <v>60</v>
      </c>
      <c r="L8" s="46" t="s">
        <v>275</v>
      </c>
      <c r="M8" s="100">
        <v>44356</v>
      </c>
      <c r="N8" s="100">
        <v>44372</v>
      </c>
      <c r="O8" s="100">
        <f t="shared" ca="1" si="4"/>
        <v>44286</v>
      </c>
      <c r="P8" s="106" t="s">
        <v>653</v>
      </c>
      <c r="Q8" s="105"/>
      <c r="R8" s="51"/>
      <c r="S8" s="51"/>
      <c r="T8" s="51"/>
      <c r="U8" s="51"/>
      <c r="V8" s="51"/>
      <c r="W8" s="51"/>
      <c r="X8" s="51"/>
      <c r="Y8" s="51"/>
      <c r="Z8" s="51"/>
      <c r="AA8" s="51"/>
      <c r="AB8" s="51"/>
      <c r="AC8" s="51"/>
      <c r="AD8" s="51"/>
      <c r="AE8" s="51"/>
      <c r="AF8" s="51"/>
      <c r="AG8" s="51"/>
      <c r="AH8" s="51"/>
      <c r="AI8" s="51"/>
      <c r="AJ8" s="51"/>
    </row>
    <row r="9" spans="1:36" hidden="1" x14ac:dyDescent="0.25">
      <c r="A9" s="45" t="s">
        <v>484</v>
      </c>
      <c r="B9" s="51" t="s">
        <v>484</v>
      </c>
      <c r="C9" s="51" t="str">
        <f t="shared" ca="1" si="0"/>
        <v>AMEX Global Business Travel</v>
      </c>
      <c r="D9" s="96"/>
      <c r="E9" s="97" t="str">
        <f t="shared" ca="1" si="1"/>
        <v>N/A</v>
      </c>
      <c r="F9" s="97" t="str">
        <f t="shared" ca="1" si="2"/>
        <v>CS</v>
      </c>
      <c r="G9" s="51" t="s">
        <v>75</v>
      </c>
      <c r="H9" s="51" t="s">
        <v>76</v>
      </c>
      <c r="I9" s="51" t="str">
        <f t="shared" ca="1" si="3"/>
        <v>JV: 50% American Express + 50% Consortium</v>
      </c>
      <c r="J9" s="98" t="str">
        <f ca="1">IF(INDIRECT("'"&amp;B9&amp;"'!"&amp;$J$1)="","-",INDIRECT("'"&amp;B9&amp;"'!"&amp;$J$1))</f>
        <v>Michael Sorna</v>
      </c>
      <c r="K9" s="96" t="s">
        <v>274</v>
      </c>
      <c r="L9" s="46" t="s">
        <v>275</v>
      </c>
      <c r="M9" s="100">
        <v>43892</v>
      </c>
      <c r="N9" s="100">
        <v>43892</v>
      </c>
      <c r="O9" s="100" t="str">
        <f t="shared" ca="1" si="4"/>
        <v/>
      </c>
      <c r="P9" s="106" t="s">
        <v>516</v>
      </c>
    </row>
    <row r="10" spans="1:36" s="41" customFormat="1" hidden="1" x14ac:dyDescent="0.25">
      <c r="A10" s="114" t="s">
        <v>353</v>
      </c>
      <c r="B10" s="51" t="s">
        <v>353</v>
      </c>
      <c r="C10" s="51" t="str">
        <f t="shared" ca="1" si="0"/>
        <v>Anastasia Skin Care</v>
      </c>
      <c r="D10" s="96"/>
      <c r="E10" s="97">
        <f t="shared" ca="1" si="1"/>
        <v>4</v>
      </c>
      <c r="F10" s="97" t="str">
        <f t="shared" ca="1" si="2"/>
        <v>Royal Bk Can(US)</v>
      </c>
      <c r="G10" s="51" t="s">
        <v>349</v>
      </c>
      <c r="H10" s="51" t="s">
        <v>169</v>
      </c>
      <c r="I10" s="51" t="str">
        <f t="shared" ca="1" si="3"/>
        <v>TPG (38%) and Soare Family (Founder - 62%)</v>
      </c>
      <c r="J10" s="98" t="str">
        <f ca="1">IF(INDIRECT("'"&amp;B10&amp;"'!"&amp;$J$1)="","-",INDIRECT("'"&amp;B10&amp;"'!"&amp;$J$1))</f>
        <v>Michael Sorna</v>
      </c>
      <c r="K10" s="96" t="s">
        <v>274</v>
      </c>
      <c r="L10" s="46" t="s">
        <v>275</v>
      </c>
      <c r="M10" s="100">
        <v>43707</v>
      </c>
      <c r="N10" s="100">
        <v>43719</v>
      </c>
      <c r="O10" s="100" t="str">
        <f t="shared" ca="1" si="4"/>
        <v/>
      </c>
      <c r="P10" s="106" t="s">
        <v>414</v>
      </c>
      <c r="Q10" s="105"/>
      <c r="R10" s="51"/>
      <c r="S10" s="51"/>
      <c r="T10" s="51"/>
      <c r="U10" s="51"/>
      <c r="V10" s="51"/>
      <c r="W10" s="51"/>
      <c r="X10" s="51"/>
      <c r="Y10" s="51"/>
      <c r="Z10" s="51"/>
      <c r="AA10" s="51"/>
      <c r="AB10" s="51"/>
      <c r="AC10" s="51"/>
      <c r="AD10" s="51"/>
      <c r="AE10" s="51"/>
      <c r="AF10" s="51"/>
      <c r="AG10" s="51"/>
      <c r="AH10" s="51"/>
      <c r="AI10" s="51"/>
      <c r="AJ10" s="51"/>
    </row>
    <row r="11" spans="1:36" x14ac:dyDescent="0.25">
      <c r="A11" s="45" t="s">
        <v>659</v>
      </c>
      <c r="B11" s="51" t="s">
        <v>659</v>
      </c>
      <c r="C11" s="51" t="str">
        <f t="shared" ca="1" si="0"/>
        <v>APM Global</v>
      </c>
      <c r="E11" s="97">
        <f t="shared" ca="1" si="1"/>
        <v>4</v>
      </c>
      <c r="F11" s="97" t="str">
        <f t="shared" ca="1" si="2"/>
        <v>BAML</v>
      </c>
      <c r="G11" s="51" t="s">
        <v>101</v>
      </c>
      <c r="H11" s="51" t="s">
        <v>94</v>
      </c>
      <c r="I11" s="51" t="str">
        <f ca="1">IF(INDIRECT("'"&amp;B11&amp;"'!"&amp;$I$1)="","-",INDIRECT("'"&amp;B11&amp;"'!"&amp;$I$1))</f>
        <v>Madison Dearborn</v>
      </c>
      <c r="J11" s="98" t="str">
        <f ca="1">IF(INDIRECT("'"&amp;B11&amp;"'!"&amp;$J$1)="","-",INDIRECT("'"&amp;B11&amp;"'!"&amp;$J$1))</f>
        <v>Michael Sorna</v>
      </c>
      <c r="K11" s="96" t="s">
        <v>60</v>
      </c>
      <c r="L11" s="46" t="s">
        <v>275</v>
      </c>
      <c r="M11" s="100">
        <v>44365</v>
      </c>
      <c r="N11" s="100">
        <v>44377</v>
      </c>
      <c r="O11" s="100">
        <f ca="1">IF(K11="done",INDIRECT("'"&amp;B11&amp;"'!"&amp;$O$1),"")</f>
        <v>44286</v>
      </c>
      <c r="P11" s="106" t="s">
        <v>526</v>
      </c>
    </row>
    <row r="12" spans="1:36" x14ac:dyDescent="0.25">
      <c r="A12" s="45" t="s">
        <v>462</v>
      </c>
      <c r="B12" s="51" t="s">
        <v>462</v>
      </c>
      <c r="C12" s="51" t="str">
        <f t="shared" ca="1" si="0"/>
        <v>Aramark</v>
      </c>
      <c r="D12" s="131" t="s">
        <v>518</v>
      </c>
      <c r="E12" s="97">
        <f t="shared" ca="1" si="1"/>
        <v>2</v>
      </c>
      <c r="F12" s="97" t="str">
        <f t="shared" ca="1" si="2"/>
        <v>CS</v>
      </c>
      <c r="G12" s="51" t="s">
        <v>277</v>
      </c>
      <c r="H12" s="51" t="s">
        <v>76</v>
      </c>
      <c r="I12" s="51" t="str">
        <f ca="1">IF(INDIRECT("'"&amp;A12&amp;"'!"&amp;$I$1)="","-",INDIRECT("'"&amp;A12&amp;"'!"&amp;$I$1))</f>
        <v>Public: ARMK</v>
      </c>
      <c r="J12" s="98" t="str">
        <f ca="1">IF(INDIRECT("'"&amp;B12&amp;"'!"&amp;$J$1)="","-",INDIRECT("'"&amp;B12&amp;"'!"&amp;$J$1))</f>
        <v>Langston Johnson</v>
      </c>
      <c r="K12" s="96" t="s">
        <v>60</v>
      </c>
      <c r="L12" s="46" t="s">
        <v>275</v>
      </c>
      <c r="M12" s="100">
        <v>44418</v>
      </c>
      <c r="N12" s="100">
        <v>44428</v>
      </c>
      <c r="O12" s="100">
        <f ca="1">IF(K12="done",INDIRECT("'"&amp;A12&amp;"'!"&amp;$O$1),"")</f>
        <v>44377</v>
      </c>
      <c r="P12" s="106" t="s">
        <v>672</v>
      </c>
    </row>
    <row r="13" spans="1:36" x14ac:dyDescent="0.25">
      <c r="A13" s="114" t="s">
        <v>158</v>
      </c>
      <c r="B13" s="51" t="s">
        <v>455</v>
      </c>
      <c r="C13" s="51" t="str">
        <f t="shared" ca="1" si="0"/>
        <v>Arby's Restaurant Group</v>
      </c>
      <c r="D13" s="131" t="s">
        <v>57</v>
      </c>
      <c r="E13" s="97">
        <f t="shared" ca="1" si="1"/>
        <v>3</v>
      </c>
      <c r="F13" s="97" t="str">
        <f t="shared" ca="1" si="2"/>
        <v>NA</v>
      </c>
      <c r="G13" s="51" t="s">
        <v>64</v>
      </c>
      <c r="H13" s="51" t="s">
        <v>65</v>
      </c>
      <c r="I13" s="49" t="str">
        <f ca="1">IF(INDIRECT("'"&amp;B13&amp;"'!"&amp;$I$1)="","-",INDIRECT("'"&amp;B13&amp;"'!"&amp;$I$1))</f>
        <v>Roark</v>
      </c>
      <c r="J13" s="98" t="str">
        <f ca="1">INDIRECT("'"&amp;B13&amp;"'!"&amp;$J$1)</f>
        <v>Michael Sorna</v>
      </c>
      <c r="K13" s="96" t="s">
        <v>60</v>
      </c>
      <c r="L13" s="46" t="s">
        <v>275</v>
      </c>
      <c r="M13" s="100">
        <v>44432</v>
      </c>
      <c r="N13" s="100">
        <v>44441</v>
      </c>
      <c r="O13" s="100">
        <f ca="1">IF(K13="done",INDIRECT("'"&amp;B13&amp;"'!"&amp;$O$1),"")</f>
        <v>44377</v>
      </c>
      <c r="P13" s="41" t="s">
        <v>690</v>
      </c>
    </row>
    <row r="14" spans="1:36" x14ac:dyDescent="0.25">
      <c r="A14" s="45" t="s">
        <v>440</v>
      </c>
      <c r="B14" s="51" t="s">
        <v>442</v>
      </c>
      <c r="C14" s="51" t="str">
        <f t="shared" ca="1" si="0"/>
        <v>Arnott's</v>
      </c>
      <c r="E14" s="97">
        <f t="shared" ca="1" si="1"/>
        <v>2</v>
      </c>
      <c r="F14" s="97" t="str">
        <f t="shared" ca="1" si="2"/>
        <v>KKR</v>
      </c>
      <c r="G14" s="51" t="s">
        <v>98</v>
      </c>
      <c r="H14" s="51" t="s">
        <v>65</v>
      </c>
      <c r="I14" s="51" t="str">
        <f ca="1">IF(INDIRECT("'"&amp;B14&amp;"'!"&amp;$I$1)="","-",INDIRECT("'"&amp;B14&amp;"'!"&amp;$I$1))</f>
        <v>KKR</v>
      </c>
      <c r="J14" s="98" t="str">
        <f ca="1">IF(INDIRECT("'"&amp;B14&amp;"'!"&amp;$J$1)="","-",INDIRECT("'"&amp;B14&amp;"'!"&amp;$J$1))</f>
        <v>Michael Sorna</v>
      </c>
      <c r="K14" s="96" t="s">
        <v>60</v>
      </c>
      <c r="L14" s="46" t="s">
        <v>275</v>
      </c>
      <c r="M14" s="100">
        <v>44285</v>
      </c>
      <c r="N14" s="100">
        <v>44326</v>
      </c>
      <c r="O14" s="100">
        <f ca="1">IF(K14="done",INDIRECT("'"&amp;B14&amp;"'!"&amp;$O$1),"")</f>
        <v>44227</v>
      </c>
      <c r="P14" s="106" t="s">
        <v>643</v>
      </c>
    </row>
    <row r="15" spans="1:36" s="41" customFormat="1" hidden="1" x14ac:dyDescent="0.25">
      <c r="A15" t="s">
        <v>44</v>
      </c>
      <c r="D15" s="46"/>
      <c r="E15" s="47"/>
      <c r="F15" s="47"/>
      <c r="J15" s="49"/>
      <c r="K15" s="46" t="s">
        <v>32</v>
      </c>
      <c r="L15" s="46"/>
      <c r="M15" s="100"/>
      <c r="N15" s="100"/>
      <c r="O15" s="50" t="s">
        <v>32</v>
      </c>
      <c r="P15" s="92"/>
      <c r="Q15" s="92"/>
    </row>
    <row r="16" spans="1:36" s="41" customFormat="1" x14ac:dyDescent="0.25">
      <c r="A16" s="45" t="s">
        <v>594</v>
      </c>
      <c r="B16" s="51" t="s">
        <v>594</v>
      </c>
      <c r="C16" s="51" t="str">
        <f ca="1">INDIRECT("'"&amp;B16&amp;"'!"&amp;$C$1)</f>
        <v>Authentic Brands Group LLC</v>
      </c>
      <c r="D16" s="131" t="s">
        <v>57</v>
      </c>
      <c r="E16" s="97">
        <f ca="1">IF(INDIRECT("'"&amp;B16&amp;"'!"&amp;$E$1)="","-",INDIRECT("'"&amp;B16&amp;"'!"&amp;$E$1))</f>
        <v>4</v>
      </c>
      <c r="F16" s="97" t="str">
        <f ca="1">IF(INDIRECT("'"&amp;B16&amp;"'!"&amp;$F$1)="","-",INDIRECT("'"&amp;B16&amp;"'!"&amp;$F$1))</f>
        <v>Bank Of America</v>
      </c>
      <c r="G16" s="51" t="s">
        <v>349</v>
      </c>
      <c r="H16" s="51" t="s">
        <v>169</v>
      </c>
      <c r="I16" s="51" t="str">
        <f ca="1">IF(INDIRECT("'"&amp;A16&amp;"'!"&amp;$I$1)="","-",INDIRECT("'"&amp;A16&amp;"'!"&amp;$I$1))</f>
        <v>Blackrock + Others</v>
      </c>
      <c r="J16" s="98" t="str">
        <f ca="1">IF(INDIRECT("'"&amp;B16&amp;"'!"&amp;$J$1)="","-",INDIRECT("'"&amp;B16&amp;"'!"&amp;$J$1))</f>
        <v>Michael Sorna</v>
      </c>
      <c r="K16" s="96" t="s">
        <v>60</v>
      </c>
      <c r="L16" s="46" t="s">
        <v>275</v>
      </c>
      <c r="M16" s="100">
        <v>44432</v>
      </c>
      <c r="N16" s="100">
        <v>44441</v>
      </c>
      <c r="O16" s="100">
        <f ca="1">IF(K16="done",INDIRECT("'"&amp;A16&amp;"'!"&amp;$O$1),"")</f>
        <v>44377</v>
      </c>
      <c r="P16" s="106" t="s">
        <v>672</v>
      </c>
      <c r="Q16" s="105"/>
    </row>
    <row r="17" spans="1:36" s="41" customFormat="1" x14ac:dyDescent="0.25">
      <c r="A17" s="114" t="s">
        <v>423</v>
      </c>
      <c r="B17" s="51" t="s">
        <v>423</v>
      </c>
      <c r="C17" s="51" t="str">
        <f ca="1">INDIRECT("'"&amp;B17&amp;"'!"&amp;$C$1)</f>
        <v>B&amp;G Foods</v>
      </c>
      <c r="D17" s="96" t="s">
        <v>465</v>
      </c>
      <c r="E17" s="97">
        <f ca="1">IF(INDIRECT("'"&amp;B17&amp;"'!"&amp;$E$1)="","-",INDIRECT("'"&amp;B17&amp;"'!"&amp;$E$1))</f>
        <v>2</v>
      </c>
      <c r="F17" s="97" t="str">
        <f ca="1">IF(INDIRECT("'"&amp;B17&amp;"'!"&amp;$F$1)="","-",INDIRECT("'"&amp;B17&amp;"'!"&amp;$F$1))</f>
        <v>BARC</v>
      </c>
      <c r="G17" s="51" t="s">
        <v>64</v>
      </c>
      <c r="H17" s="51" t="s">
        <v>65</v>
      </c>
      <c r="I17" s="51" t="str">
        <f ca="1">IF(INDIRECT("'"&amp;A17&amp;"'!"&amp;$I$1)="","-",INDIRECT("'"&amp;A17&amp;"'!"&amp;$I$1))</f>
        <v>Public: BGS</v>
      </c>
      <c r="J17" s="98" t="str">
        <f ca="1">IF(INDIRECT("'"&amp;B17&amp;"'!"&amp;$J$1)="","-",INDIRECT("'"&amp;B17&amp;"'!"&amp;$J$1))</f>
        <v>Michael Sorna</v>
      </c>
      <c r="K17" s="96" t="s">
        <v>60</v>
      </c>
      <c r="L17" s="46" t="s">
        <v>275</v>
      </c>
      <c r="M17" s="100">
        <v>44413</v>
      </c>
      <c r="N17" s="100">
        <v>44428</v>
      </c>
      <c r="O17" s="100">
        <f ca="1">IF(K17="done",INDIRECT("'"&amp;A17&amp;"'!"&amp;$O$1),"")</f>
        <v>44377</v>
      </c>
      <c r="P17" s="106" t="s">
        <v>673</v>
      </c>
      <c r="Q17" s="105"/>
      <c r="R17" s="51"/>
      <c r="S17" s="51"/>
      <c r="T17" s="51"/>
      <c r="U17" s="51"/>
      <c r="V17" s="51"/>
      <c r="W17" s="51"/>
      <c r="X17" s="51"/>
      <c r="Y17" s="51"/>
      <c r="Z17" s="51"/>
      <c r="AA17" s="51"/>
      <c r="AB17" s="51"/>
      <c r="AC17" s="51"/>
      <c r="AD17" s="51"/>
      <c r="AE17" s="51"/>
      <c r="AF17" s="51"/>
      <c r="AG17" s="51"/>
      <c r="AH17" s="51"/>
      <c r="AI17" s="51"/>
      <c r="AJ17" s="51"/>
    </row>
    <row r="18" spans="1:36" hidden="1" x14ac:dyDescent="0.25">
      <c r="A18" s="48" t="s">
        <v>163</v>
      </c>
      <c r="B18" s="48"/>
      <c r="C18" s="48"/>
      <c r="D18" s="46"/>
      <c r="E18" s="47"/>
      <c r="F18" s="47"/>
      <c r="G18" s="48"/>
      <c r="H18" s="48"/>
      <c r="I18" s="48"/>
      <c r="J18" s="49"/>
      <c r="K18" s="46" t="s">
        <v>32</v>
      </c>
      <c r="L18" s="58"/>
      <c r="M18" s="100"/>
      <c r="N18" s="100"/>
      <c r="O18" s="46" t="s">
        <v>32</v>
      </c>
      <c r="P18" s="41"/>
      <c r="Q18" s="92"/>
      <c r="R18" s="41"/>
      <c r="S18" s="41"/>
      <c r="T18" s="41"/>
      <c r="U18" s="41"/>
      <c r="V18" s="41"/>
      <c r="W18" s="41"/>
      <c r="X18" s="41"/>
      <c r="Y18" s="41"/>
      <c r="Z18" s="41"/>
      <c r="AA18" s="41"/>
      <c r="AB18" s="41"/>
      <c r="AC18" s="41"/>
      <c r="AD18" s="41"/>
      <c r="AE18" s="41"/>
      <c r="AF18" s="41"/>
      <c r="AG18" s="41"/>
      <c r="AH18" s="41"/>
      <c r="AI18" s="41"/>
      <c r="AJ18" s="41"/>
    </row>
    <row r="19" spans="1:36" x14ac:dyDescent="0.25">
      <c r="A19" s="95" t="s">
        <v>163</v>
      </c>
      <c r="B19" s="102" t="s">
        <v>163</v>
      </c>
      <c r="C19" s="102" t="str">
        <f ca="1">INDIRECT("'"&amp;A19&amp;"'!"&amp;$C$1)</f>
        <v>Bass Pro Group</v>
      </c>
      <c r="D19" s="131" t="s">
        <v>168</v>
      </c>
      <c r="E19" s="97">
        <f ca="1">IF(INDIRECT("'"&amp;B19&amp;"'!"&amp;$E$1)="","-",INDIRECT("'"&amp;B19&amp;"'!"&amp;$E$1))</f>
        <v>4</v>
      </c>
      <c r="F19" s="97" t="str">
        <f ca="1">IF(INDIRECT("'"&amp;B19&amp;"'!"&amp;$F$1)="","-",INDIRECT("'"&amp;B19&amp;"'!"&amp;$F$1))</f>
        <v>JP Morgan Chase</v>
      </c>
      <c r="G19" s="51" t="s">
        <v>78</v>
      </c>
      <c r="H19" s="51" t="s">
        <v>79</v>
      </c>
      <c r="I19" s="51" t="str">
        <f ca="1">IF(INDIRECT("'"&amp;A19&amp;"'!"&amp;$I$1)="","-",INDIRECT("'"&amp;A19&amp;"'!"&amp;$I$1))</f>
        <v>Family (Founder: John Morris)</v>
      </c>
      <c r="J19" s="98" t="str">
        <f ca="1">INDIRECT("'"&amp;A19&amp;"'!"&amp;$J$1)</f>
        <v>Michael Sorna</v>
      </c>
      <c r="K19" s="96" t="s">
        <v>60</v>
      </c>
      <c r="L19" s="46" t="s">
        <v>275</v>
      </c>
      <c r="M19" s="100">
        <v>44411</v>
      </c>
      <c r="N19" s="100">
        <v>44441</v>
      </c>
      <c r="O19" s="100">
        <f ca="1">IF(K19="Done",INDIRECT("'"&amp;A19&amp;"'!"&amp;$O$1),"")</f>
        <v>44377</v>
      </c>
      <c r="P19" s="106" t="s">
        <v>691</v>
      </c>
    </row>
    <row r="20" spans="1:36" x14ac:dyDescent="0.25">
      <c r="A20" s="95" t="s">
        <v>100</v>
      </c>
      <c r="B20" s="51" t="s">
        <v>100</v>
      </c>
      <c r="C20" s="51" t="str">
        <f ca="1">INDIRECT("'"&amp;B20&amp;"'!"&amp;$C$1)</f>
        <v>Bay Club</v>
      </c>
      <c r="D20" s="131" t="s">
        <v>66</v>
      </c>
      <c r="E20" s="97" t="str">
        <f ca="1">IF(INDIRECT("'"&amp;B20&amp;"'!"&amp;$E$1)="","-",INDIRECT("'"&amp;B20&amp;"'!"&amp;$E$1))</f>
        <v>-</v>
      </c>
      <c r="F20" s="97" t="str">
        <f ca="1">IF(INDIRECT("'"&amp;B20&amp;"'!"&amp;$F$1)="","-",INDIRECT("'"&amp;B20&amp;"'!"&amp;$F$1))</f>
        <v>Morgan Stan Sr</v>
      </c>
      <c r="G20" s="51" t="s">
        <v>101</v>
      </c>
      <c r="H20" s="51" t="s">
        <v>94</v>
      </c>
      <c r="I20" s="51" t="str">
        <f ca="1">IF(INDIRECT("'"&amp;A20&amp;"'!"&amp;$I$1)="","-",INDIRECT("'"&amp;A20&amp;"'!"&amp;$I$1))</f>
        <v>KKR</v>
      </c>
      <c r="J20" s="98" t="str">
        <f ca="1">IF(INDIRECT("'"&amp;B20&amp;"'!"&amp;$J$1)="","-",INDIRECT("'"&amp;B20&amp;"'!"&amp;$J$1))</f>
        <v>Michael Sorna</v>
      </c>
      <c r="K20" s="96" t="s">
        <v>60</v>
      </c>
      <c r="L20" s="108" t="s">
        <v>275</v>
      </c>
      <c r="M20" s="100">
        <v>44320</v>
      </c>
      <c r="N20" s="100">
        <v>44355</v>
      </c>
      <c r="O20" s="100">
        <f ca="1">IF(K20="done",INDIRECT("'"&amp;A20&amp;"'!"&amp;$O$1),"")</f>
        <v>44227</v>
      </c>
      <c r="P20" s="106" t="s">
        <v>646</v>
      </c>
    </row>
    <row r="21" spans="1:36" x14ac:dyDescent="0.25">
      <c r="A21" s="45" t="s">
        <v>276</v>
      </c>
      <c r="B21" s="51" t="s">
        <v>276</v>
      </c>
      <c r="C21" s="51" t="str">
        <f ca="1">INDIRECT("'"&amp;B21&amp;"'!"&amp;$C$1)</f>
        <v>Belfor Holdings</v>
      </c>
      <c r="D21" s="131" t="s">
        <v>61</v>
      </c>
      <c r="E21" s="97">
        <f ca="1">IF(INDIRECT("'"&amp;B21&amp;"'!"&amp;$E$1)="","-",INDIRECT("'"&amp;B21&amp;"'!"&amp;$E$1))</f>
        <v>2</v>
      </c>
      <c r="F21" s="97" t="str">
        <f ca="1">IF(INDIRECT("'"&amp;B21&amp;"'!"&amp;$F$1)="","-",INDIRECT("'"&amp;B21&amp;"'!"&amp;$F$1))</f>
        <v>JP Morgan Chase</v>
      </c>
      <c r="G21" s="51" t="s">
        <v>277</v>
      </c>
      <c r="H21" s="51" t="s">
        <v>76</v>
      </c>
      <c r="I21" s="51" t="str">
        <f ca="1">IF(INDIRECT("'"&amp;A21&amp;"'!"&amp;$I$1)="","-",INDIRECT("'"&amp;A21&amp;"'!"&amp;$I$1))</f>
        <v>American Securities</v>
      </c>
      <c r="J21" s="98" t="str">
        <f ca="1">IF(INDIRECT("'"&amp;B21&amp;"'!"&amp;$J$1)="","-",INDIRECT("'"&amp;B21&amp;"'!"&amp;$J$1))</f>
        <v>Michael Sorna</v>
      </c>
      <c r="K21" s="96" t="s">
        <v>60</v>
      </c>
      <c r="L21" s="46" t="s">
        <v>275</v>
      </c>
      <c r="M21" s="100">
        <v>44421</v>
      </c>
      <c r="N21" s="100">
        <v>44441</v>
      </c>
      <c r="O21" s="100">
        <f ca="1">IF(K21="done",INDIRECT("'"&amp;A21&amp;"'!"&amp;$O$1),"")</f>
        <v>44377</v>
      </c>
      <c r="P21" s="106" t="s">
        <v>692</v>
      </c>
    </row>
    <row r="22" spans="1:36" x14ac:dyDescent="0.25">
      <c r="A22" s="45" t="s">
        <v>524</v>
      </c>
      <c r="B22" s="51" t="s">
        <v>524</v>
      </c>
      <c r="C22" s="51" t="str">
        <f ca="1">INDIRECT("'"&amp;B22&amp;"'!"&amp;$C$1)</f>
        <v>Blackhawk Network Holdings</v>
      </c>
      <c r="E22" s="97">
        <f ca="1">IF(INDIRECT("'"&amp;B22&amp;"'!"&amp;$E$1)="","-",INDIRECT("'"&amp;B22&amp;"'!"&amp;$E$1))</f>
        <v>3</v>
      </c>
      <c r="F22" s="97" t="str">
        <f ca="1">IF(INDIRECT("'"&amp;B22&amp;"'!"&amp;$F$1)="","-",INDIRECT("'"&amp;B22&amp;"'!"&amp;$F$1))</f>
        <v>BAML</v>
      </c>
      <c r="G22" s="51" t="s">
        <v>525</v>
      </c>
      <c r="H22" s="51" t="s">
        <v>94</v>
      </c>
      <c r="I22" s="51" t="str">
        <f ca="1">IF(INDIRECT("'"&amp;A22&amp;"'!"&amp;$I$1)="","-",INDIRECT("'"&amp;A22&amp;"'!"&amp;$I$1))</f>
        <v>Silverlake + P2 Capital Partners</v>
      </c>
      <c r="J22" s="98" t="str">
        <f ca="1">IF(INDIRECT("'"&amp;B22&amp;"'!"&amp;$J$1)="","-",INDIRECT("'"&amp;B22&amp;"'!"&amp;$J$1))</f>
        <v>Michael Sorna</v>
      </c>
      <c r="K22" s="96" t="s">
        <v>60</v>
      </c>
      <c r="L22" s="46" t="s">
        <v>275</v>
      </c>
      <c r="M22" s="100">
        <v>44412</v>
      </c>
      <c r="N22" s="100">
        <v>44441</v>
      </c>
      <c r="O22" s="100">
        <f ca="1">IF(K22="done",INDIRECT("'"&amp;A22&amp;"'!"&amp;$O$1),"")</f>
        <v>44377</v>
      </c>
      <c r="P22" s="106" t="s">
        <v>689</v>
      </c>
    </row>
    <row r="23" spans="1:36" hidden="1" x14ac:dyDescent="0.25">
      <c r="A23" t="s">
        <v>167</v>
      </c>
      <c r="B23" s="41"/>
      <c r="C23" s="41"/>
      <c r="D23" s="46"/>
      <c r="E23" s="47"/>
      <c r="F23" s="47"/>
      <c r="G23" s="41"/>
      <c r="H23" s="41"/>
      <c r="I23" s="41"/>
      <c r="J23" s="49"/>
      <c r="K23" s="46" t="s">
        <v>32</v>
      </c>
      <c r="L23" s="58"/>
      <c r="M23" s="100"/>
      <c r="N23" s="100"/>
      <c r="O23" s="50" t="s">
        <v>32</v>
      </c>
      <c r="P23" s="92"/>
      <c r="Q23" s="92"/>
      <c r="R23" s="41"/>
      <c r="S23" s="41"/>
      <c r="T23" s="41"/>
      <c r="U23" s="41"/>
      <c r="V23" s="41"/>
      <c r="W23" s="41"/>
      <c r="X23" s="41"/>
      <c r="Y23" s="41"/>
      <c r="Z23" s="41"/>
      <c r="AA23" s="41"/>
      <c r="AB23" s="41"/>
      <c r="AC23" s="41"/>
      <c r="AD23" s="41"/>
      <c r="AE23" s="41"/>
      <c r="AF23" s="41"/>
      <c r="AG23" s="41"/>
      <c r="AH23" s="41"/>
      <c r="AI23" s="41"/>
      <c r="AJ23" s="41"/>
    </row>
    <row r="24" spans="1:36" x14ac:dyDescent="0.25">
      <c r="A24" s="114" t="s">
        <v>438</v>
      </c>
      <c r="B24" s="51" t="s">
        <v>68</v>
      </c>
      <c r="C24" s="51" t="str">
        <f ca="1">INDIRECT("'"&amp;B24&amp;"'!"&amp;$C$1)</f>
        <v>Burger King/Tim Hortons</v>
      </c>
      <c r="D24" s="131" t="s">
        <v>69</v>
      </c>
      <c r="E24" s="97">
        <f ca="1">IF(INDIRECT("'"&amp;B24&amp;"'!"&amp;$E$1)="","-",INDIRECT("'"&amp;B24&amp;"'!"&amp;$E$1))</f>
        <v>2</v>
      </c>
      <c r="F24" s="97" t="str">
        <f ca="1">IF(INDIRECT("'"&amp;B24&amp;"'!"&amp;$F$1)="","-",INDIRECT("'"&amp;B24&amp;"'!"&amp;$F$1))</f>
        <v>JP Morgan Chase</v>
      </c>
      <c r="G24" s="51" t="s">
        <v>64</v>
      </c>
      <c r="H24" s="51" t="s">
        <v>65</v>
      </c>
      <c r="I24" s="51" t="str">
        <f ca="1">IF(INDIRECT("'"&amp;B24&amp;"'!"&amp;$I$1)="","-",INDIRECT("'"&amp;B24&amp;"'!"&amp;$I$1))</f>
        <v>Public (ticker: QSR) / 3G Capital (controlling interest)</v>
      </c>
      <c r="J24" s="98" t="str">
        <f ca="1">IF(INDIRECT("'"&amp;B24&amp;"'!"&amp;$J$1)="","-",INDIRECT("'"&amp;B24&amp;"'!"&amp;$J$1))</f>
        <v>Michael Sorna</v>
      </c>
      <c r="K24" s="96" t="s">
        <v>60</v>
      </c>
      <c r="L24" s="46" t="s">
        <v>275</v>
      </c>
      <c r="M24" s="100">
        <v>44316</v>
      </c>
      <c r="N24" s="100">
        <v>44321</v>
      </c>
      <c r="O24" s="100">
        <f ca="1">IF(K24="done",INDIRECT("'"&amp;B24&amp;"'!"&amp;$O$1),"")</f>
        <v>44286</v>
      </c>
      <c r="P24" s="106" t="s">
        <v>630</v>
      </c>
    </row>
    <row r="25" spans="1:36" x14ac:dyDescent="0.25">
      <c r="A25" s="95" t="s">
        <v>138</v>
      </c>
      <c r="B25" s="102" t="s">
        <v>138</v>
      </c>
      <c r="C25" s="102" t="str">
        <f ca="1">INDIRECT("'"&amp;$A25&amp;"'!"&amp;$C$1)</f>
        <v>Camping World</v>
      </c>
      <c r="D25" s="131" t="s">
        <v>139</v>
      </c>
      <c r="E25" s="97">
        <f ca="1">IF(INDIRECT("'"&amp;B25&amp;"'!"&amp;$E$1)="","-",INDIRECT("'"&amp;B25&amp;"'!"&amp;$E$1))</f>
        <v>3</v>
      </c>
      <c r="F25" s="97" t="str">
        <f ca="1">IF(INDIRECT("'"&amp;B25&amp;"'!"&amp;$F$1)="","-",INDIRECT("'"&amp;B25&amp;"'!"&amp;$F$1))</f>
        <v>Goldman Sachs</v>
      </c>
      <c r="G25" s="51" t="s">
        <v>78</v>
      </c>
      <c r="H25" s="51" t="s">
        <v>79</v>
      </c>
      <c r="I25" s="51" t="str">
        <f ca="1">IF(INDIRECT("'"&amp;A25&amp;"'!"&amp;$I$1)="","-",INDIRECT("'"&amp;A25&amp;"'!"&amp;$I$1))</f>
        <v>Public: CWH / Crestview Partners (minority own)</v>
      </c>
      <c r="J25" s="98" t="str">
        <f ca="1">IF(INDIRECT("'"&amp;B25&amp;"'!"&amp;$J$1)="","-",INDIRECT("'"&amp;B25&amp;"'!"&amp;$J$1))</f>
        <v>Michael Sorna</v>
      </c>
      <c r="K25" s="96" t="s">
        <v>60</v>
      </c>
      <c r="L25" s="46" t="s">
        <v>275</v>
      </c>
      <c r="M25" s="100">
        <v>44412</v>
      </c>
      <c r="N25" s="100">
        <v>44431</v>
      </c>
      <c r="O25" s="100">
        <f ca="1">IF(K25="done",INDIRECT("'"&amp;A25&amp;"'!"&amp;$O$1),"")</f>
        <v>44377</v>
      </c>
      <c r="P25" s="106" t="s">
        <v>674</v>
      </c>
    </row>
    <row r="26" spans="1:36" hidden="1" x14ac:dyDescent="0.25">
      <c r="A26" s="95" t="s">
        <v>70</v>
      </c>
      <c r="B26" s="51" t="s">
        <v>70</v>
      </c>
      <c r="C26" s="51" t="str">
        <f ca="1">INDIRECT("'"&amp;B26&amp;"'!"&amp;$C$1)</f>
        <v>Carlisle FoodService</v>
      </c>
      <c r="D26" s="96"/>
      <c r="E26" s="97">
        <f ca="1">IF(INDIRECT("'"&amp;B26&amp;"'!"&amp;$E$1)="","-",INDIRECT("'"&amp;B26&amp;"'!"&amp;$E$1))</f>
        <v>4</v>
      </c>
      <c r="F26" s="97" t="e">
        <f ca="1">IF(INDIRECT("'"&amp;B26&amp;"'!"&amp;$F$1)="","-",INDIRECT("'"&amp;B26&amp;"'!"&amp;$F$1))</f>
        <v>#N/A</v>
      </c>
      <c r="G26" s="51" t="s">
        <v>71</v>
      </c>
      <c r="H26" s="51" t="s">
        <v>72</v>
      </c>
      <c r="J26" s="98" t="str">
        <f ca="1">IF(INDIRECT("'"&amp;B26&amp;"'!"&amp;$J$1)="","-",INDIRECT("'"&amp;B26&amp;"'!"&amp;$J$1))</f>
        <v>Michael Sorna</v>
      </c>
      <c r="K26" s="96" t="s">
        <v>274</v>
      </c>
      <c r="L26" s="46"/>
      <c r="M26" s="100"/>
      <c r="N26" s="100"/>
      <c r="O26" s="100" t="str">
        <f ca="1">IF(K26="done",INDIRECT("'"&amp;A26&amp;"'!"&amp;$O$1),"")</f>
        <v/>
      </c>
      <c r="P26" s="101" t="s">
        <v>261</v>
      </c>
    </row>
    <row r="27" spans="1:36" hidden="1" x14ac:dyDescent="0.25">
      <c r="A27" s="103" t="s">
        <v>97</v>
      </c>
      <c r="B27" s="51" t="s">
        <v>97</v>
      </c>
      <c r="C27" s="51" t="str">
        <f ca="1">INDIRECT("'"&amp;B27&amp;"'!"&amp;$C$1)</f>
        <v>CH Guenther &amp; Son</v>
      </c>
      <c r="D27" s="96" t="s">
        <v>61</v>
      </c>
      <c r="E27" s="97">
        <f ca="1">IF(INDIRECT("'"&amp;B27&amp;"'!"&amp;$E$1)="","-",INDIRECT("'"&amp;B27&amp;"'!"&amp;$E$1))</f>
        <v>3</v>
      </c>
      <c r="F27" s="97" t="str">
        <f ca="1">IF(INDIRECT("'"&amp;B27&amp;"'!"&amp;$F$1)="","-",INDIRECT("'"&amp;B27&amp;"'!"&amp;$F$1))</f>
        <v>JP Morgan Chase</v>
      </c>
      <c r="G27" s="51" t="s">
        <v>98</v>
      </c>
      <c r="H27" s="51" t="s">
        <v>65</v>
      </c>
      <c r="I27" s="51" t="str">
        <f ca="1">IF(INDIRECT("'"&amp;A27&amp;"'!"&amp;$I$1)="","-",INDIRECT("'"&amp;A27&amp;"'!"&amp;$I$1))</f>
        <v>PPC Partners</v>
      </c>
      <c r="J27" s="98" t="str">
        <f ca="1">IF(INDIRECT("'"&amp;B27&amp;"'!"&amp;$J$1)="","-",INDIRECT("'"&amp;B27&amp;"'!"&amp;$J$1))</f>
        <v>Michael Sorna</v>
      </c>
      <c r="K27" s="96" t="s">
        <v>274</v>
      </c>
      <c r="L27" s="108" t="s">
        <v>275</v>
      </c>
      <c r="M27" s="100">
        <v>43795</v>
      </c>
      <c r="N27" s="100">
        <v>43816</v>
      </c>
      <c r="O27" s="100" t="str">
        <f ca="1">IF(K27="done",INDIRECT("'"&amp;A27&amp;"'!"&amp;$O$1),"")</f>
        <v/>
      </c>
      <c r="P27" s="106" t="s">
        <v>460</v>
      </c>
    </row>
    <row r="28" spans="1:36" hidden="1" x14ac:dyDescent="0.25">
      <c r="A28" s="95" t="s">
        <v>228</v>
      </c>
      <c r="B28" s="51" t="s">
        <v>228</v>
      </c>
      <c r="C28" s="51" t="str">
        <f ca="1">INDIRECT("'"&amp;B28&amp;"'!"&amp;$C$1)</f>
        <v>Chobani</v>
      </c>
      <c r="D28" s="115" t="s">
        <v>57</v>
      </c>
      <c r="E28" s="97" t="str">
        <f ca="1">IF(INDIRECT("'"&amp;B28&amp;"'!"&amp;$E$1)="","-",INDIRECT("'"&amp;B28&amp;"'!"&amp;$E$1))</f>
        <v>-</v>
      </c>
      <c r="F28" s="97" t="str">
        <f ca="1">IF(INDIRECT("'"&amp;B28&amp;"'!"&amp;$F$1)="","-",INDIRECT("'"&amp;B28&amp;"'!"&amp;$F$1))</f>
        <v>Bank America NA</v>
      </c>
      <c r="G28" s="51" t="s">
        <v>98</v>
      </c>
      <c r="H28" s="51" t="s">
        <v>65</v>
      </c>
      <c r="I28" s="51" t="str">
        <f ca="1">IF(INDIRECT("'"&amp;A28&amp;"'!"&amp;$I$1)="","-",INDIRECT("'"&amp;A28&amp;"'!"&amp;$I$1))</f>
        <v>Family (Founder:  Hamdi Ulukaya)</v>
      </c>
      <c r="J28" s="98" t="str">
        <f ca="1">IF(INDIRECT("'"&amp;B28&amp;"'!"&amp;$J$1)="","-",INDIRECT("'"&amp;B28&amp;"'!"&amp;$J$1))</f>
        <v>Michael Sorna</v>
      </c>
      <c r="K28" s="96" t="s">
        <v>274</v>
      </c>
      <c r="L28" s="46" t="s">
        <v>275</v>
      </c>
      <c r="M28" s="100">
        <v>43769</v>
      </c>
      <c r="N28" s="100">
        <v>43770</v>
      </c>
      <c r="O28" s="100" t="str">
        <f ca="1">IF(K28="done",INDIRECT("'"&amp;A28&amp;"'!"&amp;$O$1),"")</f>
        <v/>
      </c>
      <c r="P28" s="106" t="s">
        <v>446</v>
      </c>
    </row>
    <row r="29" spans="1:36" hidden="1" x14ac:dyDescent="0.25">
      <c r="A29" t="s">
        <v>171</v>
      </c>
      <c r="B29" s="48"/>
      <c r="C29" s="48"/>
      <c r="D29" s="46"/>
      <c r="E29" s="47"/>
      <c r="F29" s="47"/>
      <c r="G29" s="41"/>
      <c r="H29" s="41"/>
      <c r="I29" s="41"/>
      <c r="J29" s="49"/>
      <c r="K29" s="46" t="s">
        <v>32</v>
      </c>
      <c r="L29" s="58"/>
      <c r="M29" s="100"/>
      <c r="N29" s="100"/>
      <c r="O29" s="50" t="s">
        <v>32</v>
      </c>
      <c r="P29" s="92"/>
      <c r="Q29" s="92"/>
      <c r="R29" s="41"/>
      <c r="S29" s="41"/>
      <c r="T29" s="41"/>
      <c r="U29" s="41"/>
      <c r="V29" s="41"/>
      <c r="W29" s="41"/>
      <c r="X29" s="41"/>
      <c r="Y29" s="41"/>
      <c r="Z29" s="41"/>
      <c r="AA29" s="41"/>
      <c r="AB29" s="41"/>
      <c r="AC29" s="41"/>
      <c r="AD29" s="41"/>
      <c r="AE29" s="41"/>
      <c r="AF29" s="41"/>
      <c r="AG29" s="41"/>
      <c r="AH29" s="41"/>
      <c r="AI29" s="41"/>
      <c r="AJ29" s="41"/>
    </row>
    <row r="30" spans="1:36" hidden="1" x14ac:dyDescent="0.25">
      <c r="A30" s="48" t="s">
        <v>171</v>
      </c>
      <c r="B30" s="48"/>
      <c r="C30" s="48"/>
      <c r="D30" s="46"/>
      <c r="E30" s="47"/>
      <c r="F30" s="47"/>
      <c r="G30" s="48"/>
      <c r="H30" s="48"/>
      <c r="I30" s="48"/>
      <c r="J30" s="49"/>
      <c r="K30" s="46" t="s">
        <v>32</v>
      </c>
      <c r="L30" s="58"/>
      <c r="M30" s="100"/>
      <c r="N30" s="100"/>
      <c r="O30" s="46" t="s">
        <v>32</v>
      </c>
      <c r="P30" s="41"/>
      <c r="Q30" s="92"/>
      <c r="R30" s="41"/>
      <c r="S30" s="41"/>
      <c r="T30" s="41"/>
      <c r="U30" s="41"/>
      <c r="V30" s="41"/>
      <c r="W30" s="41"/>
      <c r="X30" s="41"/>
      <c r="Y30" s="41"/>
      <c r="Z30" s="41"/>
      <c r="AA30" s="41"/>
      <c r="AB30" s="41"/>
      <c r="AC30" s="41"/>
      <c r="AD30" s="41"/>
      <c r="AE30" s="41"/>
      <c r="AF30" s="41"/>
      <c r="AG30" s="41"/>
      <c r="AH30" s="41"/>
      <c r="AI30" s="41"/>
      <c r="AJ30" s="41"/>
    </row>
    <row r="31" spans="1:36" x14ac:dyDescent="0.25">
      <c r="A31" s="45" t="s">
        <v>617</v>
      </c>
      <c r="B31" s="51" t="s">
        <v>617</v>
      </c>
      <c r="C31" s="51" t="str">
        <f t="shared" ref="C31:C51" ca="1" si="5">INDIRECT("'"&amp;B31&amp;"'!"&amp;$C$1)</f>
        <v>City Brewing</v>
      </c>
      <c r="E31" s="97">
        <f t="shared" ref="E31:E62" ca="1" si="6">IF(INDIRECT("'"&amp;B31&amp;"'!"&amp;$E$1)="","-",INDIRECT("'"&amp;B31&amp;"'!"&amp;$E$1))</f>
        <v>3</v>
      </c>
      <c r="F31" s="97" t="str">
        <f t="shared" ref="F31:F62" ca="1" si="7">IF(INDIRECT("'"&amp;B31&amp;"'!"&amp;$F$1)="","-",INDIRECT("'"&amp;B31&amp;"'!"&amp;$F$1))</f>
        <v>JPM</v>
      </c>
      <c r="G31" s="51" t="s">
        <v>74</v>
      </c>
      <c r="H31" s="51" t="s">
        <v>65</v>
      </c>
      <c r="I31" s="51" t="str">
        <f ca="1">IF(INDIRECT("'"&amp;B31&amp;"'!"&amp;$I$1)="","-",INDIRECT("'"&amp;B31&amp;"'!"&amp;$I$1))</f>
        <v>Blue Ribbon, Charlesbank and Oaktree</v>
      </c>
      <c r="J31" s="98" t="str">
        <f ca="1">IF(INDIRECT("'"&amp;B31&amp;"'!"&amp;$J$1)="","-",INDIRECT("'"&amp;B31&amp;"'!"&amp;$J$1))</f>
        <v>Michael Sorna</v>
      </c>
      <c r="K31" s="96" t="s">
        <v>60</v>
      </c>
      <c r="L31" s="46" t="s">
        <v>275</v>
      </c>
      <c r="M31" s="100">
        <v>44362</v>
      </c>
      <c r="N31" s="100">
        <v>44377</v>
      </c>
      <c r="O31" s="100">
        <f ca="1">IF(K31="done",INDIRECT("'"&amp;B31&amp;"'!"&amp;$O$1),"")</f>
        <v>44286</v>
      </c>
      <c r="P31" s="106" t="s">
        <v>526</v>
      </c>
    </row>
    <row r="32" spans="1:36" x14ac:dyDescent="0.25">
      <c r="A32" s="45" t="s">
        <v>641</v>
      </c>
      <c r="B32" s="51" t="s">
        <v>641</v>
      </c>
      <c r="C32" s="51" t="str">
        <f t="shared" ca="1" si="5"/>
        <v>Club Car</v>
      </c>
      <c r="E32" s="97">
        <f t="shared" ca="1" si="6"/>
        <v>3</v>
      </c>
      <c r="F32" s="97" t="str">
        <f t="shared" ca="1" si="7"/>
        <v>GS</v>
      </c>
      <c r="G32" s="51" t="s">
        <v>67</v>
      </c>
      <c r="H32" s="51" t="s">
        <v>359</v>
      </c>
      <c r="I32" s="51" t="str">
        <f ca="1">IF(INDIRECT("'"&amp;B32&amp;"'!"&amp;$I$1)="","-",INDIRECT("'"&amp;B32&amp;"'!"&amp;$I$1))</f>
        <v>Platinum Equity</v>
      </c>
      <c r="J32" s="98" t="str">
        <f ca="1">IF(INDIRECT("'"&amp;B32&amp;"'!"&amp;$J$1)="","-",INDIRECT("'"&amp;B32&amp;"'!"&amp;$J$1))</f>
        <v>Michael Sorna</v>
      </c>
      <c r="K32" s="96" t="s">
        <v>60</v>
      </c>
      <c r="L32" s="46" t="s">
        <v>275</v>
      </c>
      <c r="M32" s="100">
        <v>44350</v>
      </c>
      <c r="N32" s="100">
        <v>44350</v>
      </c>
      <c r="O32" s="100">
        <f ca="1">IF(K32="done",INDIRECT("'"&amp;B32&amp;"'!"&amp;$O$1),"")</f>
        <v>44286</v>
      </c>
      <c r="P32" s="106" t="s">
        <v>526</v>
      </c>
    </row>
    <row r="33" spans="1:36" x14ac:dyDescent="0.25">
      <c r="A33" s="45" t="s">
        <v>554</v>
      </c>
      <c r="B33" s="51" t="s">
        <v>554</v>
      </c>
      <c r="C33" s="51" t="str">
        <f t="shared" ca="1" si="5"/>
        <v>CommerceHub</v>
      </c>
      <c r="E33" s="97">
        <f t="shared" ca="1" si="6"/>
        <v>3</v>
      </c>
      <c r="F33" s="97" t="str">
        <f t="shared" ca="1" si="7"/>
        <v>MS</v>
      </c>
      <c r="G33" s="51" t="s">
        <v>75</v>
      </c>
      <c r="H33" s="51" t="s">
        <v>76</v>
      </c>
      <c r="I33" s="51" t="str">
        <f ca="1">IF(INDIRECT("'"&amp;B33&amp;"'!"&amp;$I$1)="","-",INDIRECT("'"&amp;B33&amp;"'!"&amp;$I$1))</f>
        <v>Insight Partners, GCTR, Sycamore</v>
      </c>
      <c r="J33" s="98" t="str">
        <f ca="1">IF(INDIRECT("'"&amp;B33&amp;"'!"&amp;$J$1)="","-",INDIRECT("'"&amp;B33&amp;"'!"&amp;$J$1))</f>
        <v>Michael Sorna</v>
      </c>
      <c r="K33" s="96" t="s">
        <v>60</v>
      </c>
      <c r="L33" s="46" t="s">
        <v>275</v>
      </c>
      <c r="M33" s="100">
        <v>44432</v>
      </c>
      <c r="N33" s="100">
        <v>44441</v>
      </c>
      <c r="O33" s="100">
        <f ca="1">IF(K33="done",INDIRECT("'"&amp;B33&amp;"'!"&amp;$O$1),"")</f>
        <v>44377</v>
      </c>
      <c r="P33" s="106" t="s">
        <v>689</v>
      </c>
    </row>
    <row r="34" spans="1:36" x14ac:dyDescent="0.25">
      <c r="A34" s="45" t="s">
        <v>639</v>
      </c>
      <c r="B34" s="51" t="s">
        <v>639</v>
      </c>
      <c r="C34" s="51" t="str">
        <f t="shared" ca="1" si="5"/>
        <v>Conair</v>
      </c>
      <c r="E34" s="97" t="str">
        <f t="shared" ca="1" si="6"/>
        <v>NA</v>
      </c>
      <c r="F34" s="97" t="str">
        <f t="shared" ca="1" si="7"/>
        <v>BAML</v>
      </c>
      <c r="G34" s="51" t="s">
        <v>538</v>
      </c>
      <c r="H34" s="51" t="s">
        <v>72</v>
      </c>
      <c r="I34" s="51" t="str">
        <f ca="1">IF(INDIRECT("'"&amp;B34&amp;"'!"&amp;$I$1)="","-",INDIRECT("'"&amp;B34&amp;"'!"&amp;$I$1))</f>
        <v>American Securities</v>
      </c>
      <c r="J34" s="98" t="str">
        <f ca="1">IF(INDIRECT("'"&amp;B34&amp;"'!"&amp;$J$1)="","-",INDIRECT("'"&amp;B34&amp;"'!"&amp;$J$1))</f>
        <v>Michael Sorna</v>
      </c>
      <c r="K34" s="96" t="s">
        <v>60</v>
      </c>
      <c r="L34" s="46" t="s">
        <v>275</v>
      </c>
      <c r="M34" s="100">
        <v>44350</v>
      </c>
      <c r="N34" s="100">
        <v>44350</v>
      </c>
      <c r="O34" s="100">
        <f ca="1">IF(K34="done",INDIRECT("'"&amp;B34&amp;"'!"&amp;$O$1),"")</f>
        <v>44286</v>
      </c>
      <c r="P34" s="106" t="s">
        <v>526</v>
      </c>
    </row>
    <row r="35" spans="1:36" x14ac:dyDescent="0.25">
      <c r="A35" s="114" t="s">
        <v>73</v>
      </c>
      <c r="B35" s="41" t="s">
        <v>73</v>
      </c>
      <c r="C35" s="51" t="str">
        <f t="shared" ca="1" si="5"/>
        <v>Constellation Brands</v>
      </c>
      <c r="D35" s="131" t="s">
        <v>66</v>
      </c>
      <c r="E35" s="97">
        <f t="shared" ca="1" si="6"/>
        <v>3</v>
      </c>
      <c r="F35" s="97" t="str">
        <f t="shared" ca="1" si="7"/>
        <v>Morgan Stanley</v>
      </c>
      <c r="G35" s="41" t="s">
        <v>74</v>
      </c>
      <c r="H35" s="41" t="s">
        <v>65</v>
      </c>
      <c r="I35" s="51" t="str">
        <f ca="1">IF(INDIRECT("'"&amp;A35&amp;"'!"&amp;$I$1)="","-",INDIRECT("'"&amp;A35&amp;"'!"&amp;$I$1))</f>
        <v>OTPP</v>
      </c>
      <c r="J35" s="98" t="str">
        <f ca="1">IF(INDIRECT("'"&amp;B35&amp;"'!"&amp;$J$1)="","-",INDIRECT("'"&amp;B35&amp;"'!"&amp;$J$1))</f>
        <v>Michael Sorna</v>
      </c>
      <c r="K35" s="96" t="s">
        <v>60</v>
      </c>
      <c r="L35" s="46" t="s">
        <v>275</v>
      </c>
      <c r="M35" s="100">
        <v>44356</v>
      </c>
      <c r="N35" s="100">
        <v>44374</v>
      </c>
      <c r="O35" s="100">
        <f ca="1">IF(K35="done",INDIRECT("'"&amp;A35&amp;"'!"&amp;$O$1),"")</f>
        <v>44255</v>
      </c>
      <c r="P35" s="106" t="s">
        <v>656</v>
      </c>
      <c r="Q35" s="92"/>
    </row>
    <row r="36" spans="1:36" hidden="1" x14ac:dyDescent="0.25">
      <c r="A36" t="s">
        <v>175</v>
      </c>
      <c r="B36" s="102" t="s">
        <v>175</v>
      </c>
      <c r="C36" s="51" t="str">
        <f t="shared" ca="1" si="5"/>
        <v>CSM Bakery</v>
      </c>
      <c r="D36" s="115" t="s">
        <v>66</v>
      </c>
      <c r="E36" s="97">
        <f t="shared" ca="1" si="6"/>
        <v>5</v>
      </c>
      <c r="F36" s="97" t="e">
        <f t="shared" ca="1" si="7"/>
        <v>#N/A</v>
      </c>
      <c r="G36" s="51" t="s">
        <v>64</v>
      </c>
      <c r="H36" s="51" t="s">
        <v>65</v>
      </c>
      <c r="I36" s="51" t="str">
        <f ca="1">IF(INDIRECT("'"&amp;A36&amp;"'!"&amp;$I$1)="","-",INDIRECT("'"&amp;A36&amp;"'!"&amp;$I$1))</f>
        <v>Rhone Capital</v>
      </c>
      <c r="J36" s="98" t="str">
        <f ca="1">INDIRECT("'"&amp;A36&amp;"'!"&amp;$J$1)</f>
        <v>Michael Sorna</v>
      </c>
      <c r="K36" s="96" t="s">
        <v>274</v>
      </c>
      <c r="L36" s="46" t="s">
        <v>275</v>
      </c>
      <c r="M36" s="100">
        <v>43556</v>
      </c>
      <c r="N36" s="100">
        <v>43557</v>
      </c>
      <c r="O36" s="100" t="str">
        <f ca="1">IF(K36="Done",INDIRECT("'"&amp;A36&amp;"'!"&amp;$O$1),"")</f>
        <v/>
      </c>
      <c r="P36" s="116" t="s">
        <v>337</v>
      </c>
    </row>
    <row r="37" spans="1:36" x14ac:dyDescent="0.25">
      <c r="A37" s="45" t="s">
        <v>675</v>
      </c>
      <c r="B37" s="51" t="s">
        <v>675</v>
      </c>
      <c r="C37" s="51" t="str">
        <f t="shared" ca="1" si="5"/>
        <v>CoolSys</v>
      </c>
      <c r="D37" s="51"/>
      <c r="E37" s="97">
        <f t="shared" ca="1" si="6"/>
        <v>3</v>
      </c>
      <c r="F37" s="97" t="str">
        <f t="shared" ca="1" si="7"/>
        <v>UBS</v>
      </c>
      <c r="G37" s="51" t="s">
        <v>277</v>
      </c>
      <c r="H37" s="51" t="s">
        <v>76</v>
      </c>
      <c r="I37" s="51" t="str">
        <f ca="1">IF(INDIRECT("'"&amp;A37&amp;"'!"&amp;$I$1)="","-",INDIRECT("'"&amp;A37&amp;"'!"&amp;$I$1))</f>
        <v>Ares Management</v>
      </c>
      <c r="J37" s="98" t="str">
        <f t="shared" ref="J37:J54" ca="1" si="8">IF(INDIRECT("'"&amp;B37&amp;"'!"&amp;$J$1)="","-",INDIRECT("'"&amp;B37&amp;"'!"&amp;$J$1))</f>
        <v>Michael Sorna</v>
      </c>
      <c r="K37" s="96" t="s">
        <v>60</v>
      </c>
      <c r="L37" s="46" t="s">
        <v>275</v>
      </c>
      <c r="M37" s="100">
        <v>44439</v>
      </c>
      <c r="N37" s="100">
        <v>44439</v>
      </c>
      <c r="O37" s="100">
        <f ca="1">IF(K37="done",INDIRECT("'"&amp;A37&amp;"'!"&amp;$O$1),"")</f>
        <v>44377</v>
      </c>
      <c r="P37" s="106" t="s">
        <v>526</v>
      </c>
    </row>
    <row r="38" spans="1:36" s="41" customFormat="1" x14ac:dyDescent="0.25">
      <c r="A38" s="45" t="s">
        <v>591</v>
      </c>
      <c r="B38" s="51" t="s">
        <v>591</v>
      </c>
      <c r="C38" s="51" t="str">
        <f t="shared" ca="1" si="5"/>
        <v>Domtar Personal Care</v>
      </c>
      <c r="D38" s="131"/>
      <c r="E38" s="97">
        <f t="shared" ca="1" si="6"/>
        <v>4</v>
      </c>
      <c r="F38" s="97" t="str">
        <f t="shared" ca="1" si="7"/>
        <v>DB</v>
      </c>
      <c r="G38" s="51" t="s">
        <v>183</v>
      </c>
      <c r="H38" s="51" t="s">
        <v>169</v>
      </c>
      <c r="I38" s="51" t="str">
        <f ca="1">IF(INDIRECT("'"&amp;A38&amp;"'!"&amp;$I$1)="","-",INDIRECT("'"&amp;A38&amp;"'!"&amp;$I$1))</f>
        <v>American Industrial Partners</v>
      </c>
      <c r="J38" s="98" t="str">
        <f t="shared" ca="1" si="8"/>
        <v>Michael Sorna</v>
      </c>
      <c r="K38" s="96" t="s">
        <v>60</v>
      </c>
      <c r="L38" s="46" t="s">
        <v>275</v>
      </c>
      <c r="M38" s="100">
        <v>44265</v>
      </c>
      <c r="N38" s="100">
        <v>44265</v>
      </c>
      <c r="O38" s="100">
        <f ca="1">IF(K38="done",INDIRECT("'"&amp;A38&amp;"'!"&amp;$O$1),"")</f>
        <v>44196</v>
      </c>
      <c r="P38" s="106" t="s">
        <v>526</v>
      </c>
      <c r="Q38" s="105"/>
      <c r="R38" s="51"/>
      <c r="S38" s="51"/>
      <c r="T38" s="51"/>
      <c r="U38" s="51"/>
      <c r="V38" s="51"/>
      <c r="W38" s="51"/>
      <c r="X38" s="51"/>
      <c r="Y38" s="51"/>
      <c r="Z38" s="51"/>
      <c r="AA38" s="51"/>
      <c r="AB38" s="51"/>
      <c r="AC38" s="51"/>
      <c r="AD38" s="51"/>
      <c r="AE38" s="51"/>
      <c r="AF38" s="51"/>
      <c r="AG38" s="51"/>
      <c r="AH38" s="51"/>
      <c r="AI38" s="51"/>
      <c r="AJ38" s="51"/>
    </row>
    <row r="39" spans="1:36" hidden="1" x14ac:dyDescent="0.25">
      <c r="A39" s="45" t="s">
        <v>325</v>
      </c>
      <c r="B39" s="51" t="s">
        <v>325</v>
      </c>
      <c r="C39" s="51" t="str">
        <f t="shared" ca="1" si="5"/>
        <v>Equinox</v>
      </c>
      <c r="D39" s="115" t="s">
        <v>57</v>
      </c>
      <c r="E39" s="97">
        <f t="shared" ca="1" si="6"/>
        <v>3</v>
      </c>
      <c r="F39" s="97" t="str">
        <f t="shared" ca="1" si="7"/>
        <v>BofA ML</v>
      </c>
      <c r="G39" s="51" t="s">
        <v>101</v>
      </c>
      <c r="H39" s="51" t="s">
        <v>94</v>
      </c>
      <c r="I39" s="51" t="str">
        <f ca="1">IF(INDIRECT("'"&amp;A39&amp;"'!"&amp;$I$1)="","-",INDIRECT("'"&amp;A39&amp;"'!"&amp;$I$1))</f>
        <v>Related Capital, Leonard Green,  and Management.</v>
      </c>
      <c r="J39" s="98" t="str">
        <f t="shared" ca="1" si="8"/>
        <v>Michael Sorna</v>
      </c>
      <c r="K39" s="96" t="s">
        <v>274</v>
      </c>
      <c r="L39" s="46" t="s">
        <v>275</v>
      </c>
      <c r="M39" s="100">
        <v>43686</v>
      </c>
      <c r="N39" s="100">
        <v>43704</v>
      </c>
      <c r="O39" s="100" t="str">
        <f ca="1">IF(K39="done",INDIRECT("'"&amp;A39&amp;"'!"&amp;$O$1),"")</f>
        <v/>
      </c>
      <c r="P39" s="106" t="s">
        <v>408</v>
      </c>
    </row>
    <row r="40" spans="1:36" x14ac:dyDescent="0.25">
      <c r="A40" s="45" t="s">
        <v>669</v>
      </c>
      <c r="B40" s="51" t="s">
        <v>669</v>
      </c>
      <c r="C40" s="51" t="str">
        <f t="shared" ca="1" si="5"/>
        <v>EmployBridge</v>
      </c>
      <c r="E40" s="97">
        <f t="shared" ca="1" si="6"/>
        <v>3</v>
      </c>
      <c r="F40" s="97" t="str">
        <f t="shared" ca="1" si="7"/>
        <v>RBC</v>
      </c>
      <c r="G40" s="51" t="s">
        <v>75</v>
      </c>
      <c r="H40" s="51" t="s">
        <v>76</v>
      </c>
      <c r="I40" s="51" t="str">
        <f ca="1">IF(INDIRECT("'"&amp;B40&amp;"'!"&amp;$I$1)="","-",INDIRECT("'"&amp;B40&amp;"'!"&amp;$I$1))</f>
        <v>Apollo</v>
      </c>
      <c r="J40" s="98" t="str">
        <f t="shared" ca="1" si="8"/>
        <v>Michael Sorna</v>
      </c>
      <c r="K40" s="96" t="s">
        <v>60</v>
      </c>
      <c r="L40" s="46" t="s">
        <v>275</v>
      </c>
      <c r="M40" s="100">
        <v>44383</v>
      </c>
      <c r="N40" s="100">
        <v>44403</v>
      </c>
      <c r="O40" s="100">
        <f ca="1">IF(K40="done",INDIRECT("'"&amp;B40&amp;"'!"&amp;$O$1),"")</f>
        <v>44346</v>
      </c>
      <c r="P40" s="106" t="s">
        <v>526</v>
      </c>
    </row>
    <row r="41" spans="1:36" x14ac:dyDescent="0.25">
      <c r="A41" s="95" t="s">
        <v>77</v>
      </c>
      <c r="B41" s="51" t="s">
        <v>77</v>
      </c>
      <c r="C41" s="51" t="str">
        <f t="shared" ca="1" si="5"/>
        <v>Eyemart Express</v>
      </c>
      <c r="D41" s="131" t="s">
        <v>57</v>
      </c>
      <c r="E41" s="97">
        <f t="shared" ca="1" si="6"/>
        <v>3</v>
      </c>
      <c r="F41" s="97" t="str">
        <f t="shared" ca="1" si="7"/>
        <v>Barclays Bank</v>
      </c>
      <c r="G41" s="51" t="s">
        <v>78</v>
      </c>
      <c r="H41" s="51" t="s">
        <v>79</v>
      </c>
      <c r="I41" s="51" t="str">
        <f ca="1">IF(INDIRECT("'"&amp;A41&amp;"'!"&amp;$I$1)="","-",INDIRECT("'"&amp;A41&amp;"'!"&amp;$I$1))</f>
        <v>FFL Partners</v>
      </c>
      <c r="J41" s="98" t="str">
        <f t="shared" ca="1" si="8"/>
        <v>Michael Sorna</v>
      </c>
      <c r="K41" s="96" t="s">
        <v>60</v>
      </c>
      <c r="L41" s="46" t="s">
        <v>275</v>
      </c>
      <c r="M41" s="100">
        <v>44404</v>
      </c>
      <c r="N41" s="100">
        <v>44441</v>
      </c>
      <c r="O41" s="100">
        <f ca="1">IF(K41="done",INDIRECT("'"&amp;A41&amp;"'!"&amp;$O$1),"")</f>
        <v>44377</v>
      </c>
      <c r="P41" s="106" t="s">
        <v>693</v>
      </c>
    </row>
    <row r="42" spans="1:36" x14ac:dyDescent="0.25">
      <c r="A42" s="45" t="s">
        <v>470</v>
      </c>
      <c r="B42" s="51" t="s">
        <v>470</v>
      </c>
      <c r="C42" s="51" t="str">
        <f t="shared" ca="1" si="5"/>
        <v>First Advantage</v>
      </c>
      <c r="E42" s="97">
        <f t="shared" ca="1" si="6"/>
        <v>4</v>
      </c>
      <c r="F42" s="97" t="str">
        <f t="shared" ca="1" si="7"/>
        <v>BOFA, JPM (2L)</v>
      </c>
      <c r="G42" s="51" t="s">
        <v>277</v>
      </c>
      <c r="H42" s="51" t="s">
        <v>76</v>
      </c>
      <c r="I42" s="51" t="str">
        <f ca="1">IF(INDIRECT("'"&amp;A42&amp;"'!"&amp;$I$1)="","-",INDIRECT("'"&amp;A42&amp;"'!"&amp;$I$1))</f>
        <v>Silver Lake</v>
      </c>
      <c r="J42" s="98" t="str">
        <f t="shared" ca="1" si="8"/>
        <v>Michael Sorna</v>
      </c>
      <c r="K42" s="96" t="s">
        <v>60</v>
      </c>
      <c r="L42" s="46" t="s">
        <v>275</v>
      </c>
      <c r="M42" s="100">
        <v>44341</v>
      </c>
      <c r="N42" s="100">
        <v>44344</v>
      </c>
      <c r="O42" s="100">
        <f ca="1">IF(K42="done",INDIRECT("'"&amp;A42&amp;"'!"&amp;$O$1),"")</f>
        <v>44286</v>
      </c>
      <c r="P42" s="106" t="s">
        <v>631</v>
      </c>
    </row>
    <row r="43" spans="1:36" x14ac:dyDescent="0.25">
      <c r="A43" s="95" t="s">
        <v>80</v>
      </c>
      <c r="B43" s="51" t="s">
        <v>80</v>
      </c>
      <c r="C43" s="51" t="str">
        <f t="shared" ca="1" si="5"/>
        <v>Fluidra</v>
      </c>
      <c r="D43" s="131" t="s">
        <v>609</v>
      </c>
      <c r="E43" s="97">
        <f t="shared" ca="1" si="6"/>
        <v>3</v>
      </c>
      <c r="F43" s="97" t="str">
        <f t="shared" ca="1" si="7"/>
        <v>Credit Suisse</v>
      </c>
      <c r="G43" s="51" t="s">
        <v>82</v>
      </c>
      <c r="H43" s="51" t="s">
        <v>72</v>
      </c>
      <c r="I43" s="51" t="str">
        <f ca="1">IF(INDIRECT("'"&amp;A43&amp;"'!"&amp;$I$1)="","-",INDIRECT("'"&amp;A43&amp;"'!"&amp;$I$1))</f>
        <v>Public (FDR.MC)</v>
      </c>
      <c r="J43" s="98" t="str">
        <f t="shared" ca="1" si="8"/>
        <v>Langston Johnson</v>
      </c>
      <c r="K43" s="96" t="s">
        <v>60</v>
      </c>
      <c r="L43" s="46" t="s">
        <v>275</v>
      </c>
      <c r="M43" s="100">
        <v>44322</v>
      </c>
      <c r="N43" s="100">
        <v>44376</v>
      </c>
      <c r="O43" s="100">
        <f ca="1">IF(K43="done",INDIRECT("'"&amp;A43&amp;"'!"&amp;$O$1),"")</f>
        <v>44286</v>
      </c>
      <c r="P43" s="106" t="s">
        <v>658</v>
      </c>
      <c r="Q43" s="105" t="s">
        <v>267</v>
      </c>
    </row>
    <row r="44" spans="1:36" x14ac:dyDescent="0.25">
      <c r="A44" s="45" t="s">
        <v>636</v>
      </c>
      <c r="B44" s="51" t="s">
        <v>636</v>
      </c>
      <c r="C44" s="51" t="str">
        <f t="shared" ca="1" si="5"/>
        <v>Frontdoor</v>
      </c>
      <c r="E44" s="97">
        <f t="shared" ca="1" si="6"/>
        <v>3</v>
      </c>
      <c r="F44" s="97" t="str">
        <f t="shared" ca="1" si="7"/>
        <v>JPM</v>
      </c>
      <c r="G44" s="51" t="s">
        <v>101</v>
      </c>
      <c r="H44" s="51" t="s">
        <v>94</v>
      </c>
      <c r="I44" s="51" t="str">
        <f ca="1">IF(INDIRECT("'"&amp;B44&amp;"'!"&amp;$I$1)="","-",INDIRECT("'"&amp;B44&amp;"'!"&amp;$I$1))</f>
        <v>Public: FTDR (NASDAQ)</v>
      </c>
      <c r="J44" s="98" t="str">
        <f t="shared" ca="1" si="8"/>
        <v>Michael Sorna</v>
      </c>
      <c r="K44" s="96" t="s">
        <v>60</v>
      </c>
      <c r="L44" s="46" t="s">
        <v>275</v>
      </c>
      <c r="M44" s="100">
        <v>44350</v>
      </c>
      <c r="N44" s="100">
        <v>44350</v>
      </c>
      <c r="O44" s="100">
        <f ca="1">IF(K44="done",INDIRECT("'"&amp;B44&amp;"'!"&amp;$O$1),"")</f>
        <v>44286</v>
      </c>
      <c r="P44" s="106" t="s">
        <v>526</v>
      </c>
    </row>
    <row r="45" spans="1:36" hidden="1" x14ac:dyDescent="0.25">
      <c r="A45" s="45" t="s">
        <v>667</v>
      </c>
      <c r="B45" s="51" t="s">
        <v>667</v>
      </c>
      <c r="C45" s="51" t="str">
        <f t="shared" ca="1" si="5"/>
        <v>Herman Miller</v>
      </c>
      <c r="E45" s="97">
        <f t="shared" ca="1" si="6"/>
        <v>2</v>
      </c>
      <c r="F45" s="97" t="str">
        <f t="shared" ca="1" si="7"/>
        <v>-</v>
      </c>
      <c r="G45" s="51" t="s">
        <v>538</v>
      </c>
      <c r="H45" s="51" t="s">
        <v>72</v>
      </c>
      <c r="I45" s="51" t="str">
        <f ca="1">IF(INDIRECT("'"&amp;B45&amp;"'!"&amp;$I$1)="","-",INDIRECT("'"&amp;B45&amp;"'!"&amp;$I$1))</f>
        <v>Publicly Traded</v>
      </c>
      <c r="J45" s="98" t="str">
        <f t="shared" ca="1" si="8"/>
        <v>Michael Sorna</v>
      </c>
      <c r="K45" s="96" t="s">
        <v>274</v>
      </c>
      <c r="L45" s="46" t="s">
        <v>275</v>
      </c>
      <c r="M45" s="100">
        <v>44383</v>
      </c>
      <c r="N45" s="100">
        <v>44383</v>
      </c>
      <c r="O45" s="100" t="str">
        <f ca="1">IF(K45="done",INDIRECT("'"&amp;B45&amp;"'!"&amp;$O$1),"")</f>
        <v/>
      </c>
      <c r="P45" s="106" t="s">
        <v>526</v>
      </c>
    </row>
    <row r="46" spans="1:36" hidden="1" x14ac:dyDescent="0.25">
      <c r="A46" s="45" t="s">
        <v>588</v>
      </c>
      <c r="B46" s="51" t="s">
        <v>588</v>
      </c>
      <c r="C46" s="51" t="str">
        <f t="shared" ca="1" si="5"/>
        <v>Hillman</v>
      </c>
      <c r="E46" s="97">
        <f t="shared" ca="1" si="6"/>
        <v>3</v>
      </c>
      <c r="F46" s="97" t="str">
        <f t="shared" ca="1" si="7"/>
        <v>JEFF</v>
      </c>
      <c r="G46" s="51" t="s">
        <v>573</v>
      </c>
      <c r="H46" s="51" t="s">
        <v>72</v>
      </c>
      <c r="I46" s="51" t="str">
        <f ca="1">IF(INDIRECT("'"&amp;A46&amp;"'!"&amp;$I$1)="","-",INDIRECT("'"&amp;A46&amp;"'!"&amp;$I$1))</f>
        <v>Publicly Traded: HLMN</v>
      </c>
      <c r="J46" s="98" t="str">
        <f t="shared" ca="1" si="8"/>
        <v>Michael Sorna</v>
      </c>
      <c r="K46" s="96" t="s">
        <v>274</v>
      </c>
      <c r="L46" s="46" t="s">
        <v>275</v>
      </c>
      <c r="M46" s="100">
        <v>44265</v>
      </c>
      <c r="N46" s="100">
        <v>44265</v>
      </c>
      <c r="O46" s="100" t="str">
        <f ca="1">IF(K46="done",INDIRECT("'"&amp;A46&amp;"'!"&amp;$O$1),"")</f>
        <v/>
      </c>
      <c r="P46" s="106" t="s">
        <v>526</v>
      </c>
    </row>
    <row r="47" spans="1:36" x14ac:dyDescent="0.25">
      <c r="A47" s="95" t="s">
        <v>234</v>
      </c>
      <c r="B47" s="51" t="s">
        <v>234</v>
      </c>
      <c r="C47" s="51" t="str">
        <f t="shared" ca="1" si="5"/>
        <v>Hearthside Food Solutions</v>
      </c>
      <c r="D47" s="131" t="s">
        <v>66</v>
      </c>
      <c r="E47" s="97">
        <f t="shared" ca="1" si="6"/>
        <v>3</v>
      </c>
      <c r="F47" s="97" t="str">
        <f t="shared" ca="1" si="7"/>
        <v>Goldman Sachs</v>
      </c>
      <c r="G47" s="51" t="s">
        <v>98</v>
      </c>
      <c r="H47" s="51" t="s">
        <v>65</v>
      </c>
      <c r="I47" s="51" t="str">
        <f ca="1">IF(INDIRECT("'"&amp;A47&amp;"'!"&amp;$I$1)="","-",INDIRECT("'"&amp;A47&amp;"'!"&amp;$I$1))</f>
        <v>Charlesbank/Partners Group</v>
      </c>
      <c r="J47" s="98" t="str">
        <f t="shared" ca="1" si="8"/>
        <v>Michael Sorna</v>
      </c>
      <c r="K47" s="96" t="s">
        <v>60</v>
      </c>
      <c r="L47" s="46" t="s">
        <v>275</v>
      </c>
      <c r="M47" s="100">
        <v>44434</v>
      </c>
      <c r="N47" s="100">
        <v>44441</v>
      </c>
      <c r="O47" s="100">
        <f ca="1">IF(K47="done",INDIRECT("'"&amp;A47&amp;"'!"&amp;$O$1),"")</f>
        <v>44377</v>
      </c>
      <c r="P47" s="106" t="s">
        <v>694</v>
      </c>
      <c r="Q47" s="107"/>
    </row>
    <row r="48" spans="1:36" x14ac:dyDescent="0.25">
      <c r="A48" s="112" t="s">
        <v>84</v>
      </c>
      <c r="B48" s="51" t="s">
        <v>84</v>
      </c>
      <c r="C48" s="51" t="str">
        <f t="shared" ca="1" si="5"/>
        <v>Hostess Brands</v>
      </c>
      <c r="D48" s="131" t="s">
        <v>85</v>
      </c>
      <c r="E48" s="97">
        <f t="shared" ca="1" si="6"/>
        <v>2</v>
      </c>
      <c r="F48" s="97" t="str">
        <f t="shared" ca="1" si="7"/>
        <v>CS/Cayman</v>
      </c>
      <c r="G48" s="51" t="s">
        <v>64</v>
      </c>
      <c r="H48" s="51" t="s">
        <v>65</v>
      </c>
      <c r="I48" s="51" t="str">
        <f ca="1">IF(INDIRECT("'"&amp;A48&amp;"'!"&amp;$I$1)="","-",INDIRECT("'"&amp;A48&amp;"'!"&amp;$I$1))</f>
        <v>Public (ticker: TWNK)</v>
      </c>
      <c r="J48" s="98" t="str">
        <f t="shared" ca="1" si="8"/>
        <v>Michael Sorna</v>
      </c>
      <c r="K48" s="96" t="s">
        <v>60</v>
      </c>
      <c r="L48" s="46" t="s">
        <v>275</v>
      </c>
      <c r="M48" s="100">
        <v>44412</v>
      </c>
      <c r="N48" s="100">
        <v>44453</v>
      </c>
      <c r="O48" s="100">
        <f ca="1">IF(K48="done",INDIRECT("'"&amp;A48&amp;"'!"&amp;$O$1),"")</f>
        <v>44377</v>
      </c>
      <c r="P48" s="106" t="s">
        <v>674</v>
      </c>
    </row>
    <row r="49" spans="1:16" x14ac:dyDescent="0.25">
      <c r="A49" s="45" t="s">
        <v>620</v>
      </c>
      <c r="B49" s="51" t="s">
        <v>620</v>
      </c>
      <c r="C49" s="51" t="str">
        <f t="shared" ca="1" si="5"/>
        <v>Hunter Fans</v>
      </c>
      <c r="E49" s="97">
        <f t="shared" ca="1" si="6"/>
        <v>3</v>
      </c>
      <c r="F49" s="97" t="str">
        <f t="shared" ca="1" si="7"/>
        <v>CS</v>
      </c>
      <c r="G49" s="51" t="s">
        <v>538</v>
      </c>
      <c r="H49" s="51" t="s">
        <v>72</v>
      </c>
      <c r="I49" s="51" t="str">
        <f ca="1">IF(INDIRECT("'"&amp;B49&amp;"'!"&amp;$I$1)="","-",INDIRECT("'"&amp;B49&amp;"'!"&amp;$I$1))</f>
        <v>MidOcean Partners</v>
      </c>
      <c r="J49" s="98" t="str">
        <f t="shared" ca="1" si="8"/>
        <v>Michael Sorna</v>
      </c>
      <c r="K49" s="96" t="s">
        <v>60</v>
      </c>
      <c r="L49" s="46" t="s">
        <v>275</v>
      </c>
      <c r="M49" s="100">
        <v>44346</v>
      </c>
      <c r="N49" s="100">
        <v>44346</v>
      </c>
      <c r="O49" s="100">
        <f ca="1">IF(K49="done",INDIRECT("'"&amp;B49&amp;"'!"&amp;$O$1),"")</f>
        <v>44255</v>
      </c>
      <c r="P49" s="106" t="s">
        <v>526</v>
      </c>
    </row>
    <row r="50" spans="1:16" x14ac:dyDescent="0.25">
      <c r="A50" s="45" t="s">
        <v>623</v>
      </c>
      <c r="B50" s="51" t="s">
        <v>623</v>
      </c>
      <c r="C50" s="51" t="str">
        <f t="shared" ca="1" si="5"/>
        <v>ImageFirst</v>
      </c>
      <c r="E50" s="97">
        <f t="shared" ca="1" si="6"/>
        <v>3</v>
      </c>
      <c r="F50" s="97" t="str">
        <f t="shared" ca="1" si="7"/>
        <v>ANTARES</v>
      </c>
      <c r="G50" s="51" t="s">
        <v>277</v>
      </c>
      <c r="H50" s="51" t="s">
        <v>65</v>
      </c>
      <c r="I50" s="51" t="str">
        <f ca="1">IF(INDIRECT("'"&amp;B50&amp;"'!"&amp;$I$1)="","-",INDIRECT("'"&amp;B50&amp;"'!"&amp;$I$1))</f>
        <v>Calera Capital</v>
      </c>
      <c r="J50" s="98" t="str">
        <f t="shared" ca="1" si="8"/>
        <v>Michael Sorna</v>
      </c>
      <c r="K50" s="96" t="s">
        <v>60</v>
      </c>
      <c r="L50" s="46" t="s">
        <v>275</v>
      </c>
      <c r="M50" s="100">
        <v>44425</v>
      </c>
      <c r="N50" s="100">
        <v>44445</v>
      </c>
      <c r="O50" s="100">
        <f ca="1">IF(K50="done",INDIRECT("'"&amp;B50&amp;"'!"&amp;$O$1),"")</f>
        <v>44377</v>
      </c>
      <c r="P50" s="106" t="s">
        <v>689</v>
      </c>
    </row>
    <row r="51" spans="1:16" hidden="1" x14ac:dyDescent="0.25">
      <c r="A51" s="45" t="s">
        <v>358</v>
      </c>
      <c r="B51" s="51" t="s">
        <v>358</v>
      </c>
      <c r="C51" s="51" t="str">
        <f t="shared" ca="1" si="5"/>
        <v>Insurance Auto Auctions, Inc.</v>
      </c>
      <c r="D51" s="96" t="s">
        <v>456</v>
      </c>
      <c r="E51" s="97">
        <f t="shared" ca="1" si="6"/>
        <v>2</v>
      </c>
      <c r="F51" s="97" t="str">
        <f t="shared" ca="1" si="7"/>
        <v>JP Morgan Chase</v>
      </c>
      <c r="G51" s="51" t="s">
        <v>67</v>
      </c>
      <c r="H51" s="51" t="s">
        <v>359</v>
      </c>
      <c r="I51" s="51" t="str">
        <f ca="1">IF(INDIRECT("'"&amp;A51&amp;"'!"&amp;$I$1)="","-",INDIRECT("'"&amp;A51&amp;"'!"&amp;$I$1))</f>
        <v>Public : (IAA) [Will be Publicly Traded]</v>
      </c>
      <c r="J51" s="98" t="str">
        <f t="shared" ca="1" si="8"/>
        <v>Langston Johnson</v>
      </c>
      <c r="K51" s="96" t="s">
        <v>274</v>
      </c>
      <c r="L51" s="46" t="s">
        <v>275</v>
      </c>
      <c r="M51" s="100">
        <v>44047</v>
      </c>
      <c r="N51" s="100">
        <v>44073</v>
      </c>
      <c r="O51" s="100" t="str">
        <f ca="1">IF(K51="done",INDIRECT("'"&amp;A51&amp;"'!"&amp;$O$1),"")</f>
        <v/>
      </c>
      <c r="P51" s="106" t="s">
        <v>521</v>
      </c>
    </row>
    <row r="52" spans="1:16" hidden="1" x14ac:dyDescent="0.25">
      <c r="A52" s="95" t="s">
        <v>143</v>
      </c>
      <c r="B52" s="102" t="s">
        <v>143</v>
      </c>
      <c r="C52" s="102" t="str">
        <f ca="1">INDIRECT("'"&amp;$A52&amp;"'!"&amp;$C$1)</f>
        <v>International Car Wash Group</v>
      </c>
      <c r="D52" s="131" t="s">
        <v>66</v>
      </c>
      <c r="E52" s="97">
        <f t="shared" ca="1" si="6"/>
        <v>3</v>
      </c>
      <c r="F52" s="97" t="str">
        <f t="shared" ca="1" si="7"/>
        <v>Goldman Sachs</v>
      </c>
      <c r="G52" s="51" t="s">
        <v>67</v>
      </c>
      <c r="H52" s="51" t="s">
        <v>94</v>
      </c>
      <c r="I52" s="51" t="str">
        <f ca="1">IF(INDIRECT("'"&amp;A52&amp;"'!"&amp;$I$1)="","-",INDIRECT("'"&amp;A52&amp;"'!"&amp;$I$1))</f>
        <v>Roark Capital Group</v>
      </c>
      <c r="J52" s="98" t="str">
        <f t="shared" ca="1" si="8"/>
        <v>Michael Sorna</v>
      </c>
      <c r="K52" s="96" t="s">
        <v>274</v>
      </c>
      <c r="L52" s="46" t="s">
        <v>275</v>
      </c>
      <c r="M52" s="100">
        <v>44165</v>
      </c>
      <c r="N52" s="100">
        <v>44182</v>
      </c>
      <c r="O52" s="100" t="str">
        <f ca="1">IF(K52="done",INDIRECT("'"&amp;A52&amp;"'!"&amp;$O$1),"")</f>
        <v/>
      </c>
      <c r="P52" s="106" t="s">
        <v>550</v>
      </c>
    </row>
    <row r="53" spans="1:16" hidden="1" x14ac:dyDescent="0.25">
      <c r="A53" s="95" t="s">
        <v>86</v>
      </c>
      <c r="B53" s="51" t="s">
        <v>86</v>
      </c>
      <c r="C53" s="51" t="str">
        <f ca="1">INDIRECT("'"&amp;B53&amp;"'!"&amp;$C$1)</f>
        <v>Jacobs Douwe Egberts</v>
      </c>
      <c r="D53" s="131" t="s">
        <v>612</v>
      </c>
      <c r="E53" s="97">
        <f t="shared" ca="1" si="6"/>
        <v>2</v>
      </c>
      <c r="F53" s="97" t="str">
        <f t="shared" ca="1" si="7"/>
        <v>JP Morgan</v>
      </c>
      <c r="G53" s="51" t="s">
        <v>74</v>
      </c>
      <c r="H53" s="51" t="s">
        <v>65</v>
      </c>
      <c r="I53" s="51" t="str">
        <f ca="1">IF(INDIRECT("'"&amp;A53&amp;"'!"&amp;$I$1)="","-",INDIRECT("'"&amp;A53&amp;"'!"&amp;$I$1))</f>
        <v>JV between JAB Holdings and Mondelez Foods</v>
      </c>
      <c r="J53" s="98" t="str">
        <f t="shared" ca="1" si="8"/>
        <v>Michael Sorna</v>
      </c>
      <c r="K53" s="96" t="s">
        <v>274</v>
      </c>
      <c r="L53" s="46" t="s">
        <v>275</v>
      </c>
      <c r="M53" s="100">
        <v>44284</v>
      </c>
      <c r="N53" s="100">
        <v>44285</v>
      </c>
      <c r="O53" s="100" t="str">
        <f ca="1">IF(K53="done",INDIRECT("'"&amp;A53&amp;"'!"&amp;$O$1),"")</f>
        <v/>
      </c>
      <c r="P53" s="106" t="s">
        <v>613</v>
      </c>
    </row>
    <row r="54" spans="1:16" x14ac:dyDescent="0.25">
      <c r="A54" s="45" t="s">
        <v>557</v>
      </c>
      <c r="B54" s="51" t="s">
        <v>557</v>
      </c>
      <c r="C54" s="51" t="str">
        <f ca="1">INDIRECT("'"&amp;B54&amp;"'!"&amp;$C$1)</f>
        <v>Imperial Dade</v>
      </c>
      <c r="E54" s="97">
        <f t="shared" ca="1" si="6"/>
        <v>3</v>
      </c>
      <c r="F54" s="97" t="str">
        <f t="shared" ca="1" si="7"/>
        <v>CS</v>
      </c>
      <c r="G54" s="51" t="s">
        <v>277</v>
      </c>
      <c r="H54" s="51" t="s">
        <v>169</v>
      </c>
      <c r="I54" s="51" t="str">
        <f ca="1">IF(INDIRECT("'"&amp;B54&amp;"'!"&amp;$I$1)="","-",INDIRECT("'"&amp;B54&amp;"'!"&amp;$I$1))</f>
        <v>Bain Capital</v>
      </c>
      <c r="J54" s="98" t="str">
        <f t="shared" ca="1" si="8"/>
        <v>Michael Sorna</v>
      </c>
      <c r="K54" s="96" t="s">
        <v>60</v>
      </c>
      <c r="L54" s="46" t="s">
        <v>275</v>
      </c>
      <c r="M54" s="100">
        <v>44439</v>
      </c>
      <c r="N54" s="100">
        <v>44445</v>
      </c>
      <c r="O54" s="100">
        <f ca="1">IF(K54="done",INDIRECT("'"&amp;B54&amp;"'!"&amp;$O$1),"")</f>
        <v>44377</v>
      </c>
      <c r="P54" s="106" t="s">
        <v>689</v>
      </c>
    </row>
    <row r="55" spans="1:16" x14ac:dyDescent="0.25">
      <c r="A55" s="123" t="s">
        <v>352</v>
      </c>
      <c r="B55" s="102" t="s">
        <v>352</v>
      </c>
      <c r="C55" s="51" t="str">
        <f ca="1">INDIRECT("'"&amp;B55&amp;"'!"&amp;$C$1)</f>
        <v>JBS USA</v>
      </c>
      <c r="D55" s="131" t="s">
        <v>182</v>
      </c>
      <c r="E55" s="97">
        <f t="shared" ca="1" si="6"/>
        <v>3</v>
      </c>
      <c r="F55" s="97" t="str">
        <f t="shared" ca="1" si="7"/>
        <v>Barclays Bank</v>
      </c>
      <c r="G55" s="51" t="s">
        <v>64</v>
      </c>
      <c r="H55" s="51" t="s">
        <v>65</v>
      </c>
      <c r="I55" s="51" t="str">
        <f ca="1">IF(INDIRECT("'"&amp;A55&amp;"'!"&amp;$I$1)="","-",INDIRECT("'"&amp;A55&amp;"'!"&amp;$I$1))</f>
        <v>J&amp;F Investimentos S.A. and Formosa</v>
      </c>
      <c r="J55" s="98" t="str">
        <f ca="1">INDIRECT("'"&amp;A55&amp;"'!"&amp;$J$1)</f>
        <v>Michael Sorna</v>
      </c>
      <c r="K55" s="96" t="s">
        <v>60</v>
      </c>
      <c r="L55" s="46" t="s">
        <v>275</v>
      </c>
      <c r="M55" s="100">
        <v>44284</v>
      </c>
      <c r="N55" s="100">
        <v>44285</v>
      </c>
      <c r="O55" s="100">
        <f ca="1">IF(K55="Done",INDIRECT("'"&amp;A55&amp;"'!"&amp;$O$1),"")</f>
        <v>44196</v>
      </c>
      <c r="P55" s="106" t="s">
        <v>614</v>
      </c>
    </row>
    <row r="56" spans="1:16" x14ac:dyDescent="0.25">
      <c r="A56" s="45" t="s">
        <v>586</v>
      </c>
      <c r="B56" s="51" t="s">
        <v>586</v>
      </c>
      <c r="C56" s="51" t="str">
        <f ca="1">INDIRECT("'"&amp;B56&amp;"'!"&amp;$C$1)</f>
        <v>Jo-Ann Fabrics</v>
      </c>
      <c r="E56" s="97">
        <f t="shared" ca="1" si="6"/>
        <v>4</v>
      </c>
      <c r="F56" s="97" t="str">
        <f t="shared" ca="1" si="7"/>
        <v>BAML</v>
      </c>
      <c r="G56" s="51" t="s">
        <v>78</v>
      </c>
      <c r="H56" s="51" t="s">
        <v>79</v>
      </c>
      <c r="I56" s="51" t="str">
        <f ca="1">IF(INDIRECT("'"&amp;B56&amp;"'!"&amp;$I$1)="","-",INDIRECT("'"&amp;B56&amp;"'!"&amp;$I$1))</f>
        <v xml:space="preserve">Leonard Green </v>
      </c>
      <c r="J56" s="98" t="str">
        <f ca="1">IF(INDIRECT("'"&amp;B56&amp;"'!"&amp;$J$1)="","-",INDIRECT("'"&amp;B56&amp;"'!"&amp;$J$1))</f>
        <v>Michael Sorna</v>
      </c>
      <c r="K56" s="96" t="s">
        <v>60</v>
      </c>
      <c r="L56" s="46" t="s">
        <v>275</v>
      </c>
      <c r="M56" s="100">
        <v>44351</v>
      </c>
      <c r="N56" s="100">
        <v>44355</v>
      </c>
      <c r="O56" s="100">
        <f ca="1">IF(K56="done",INDIRECT("'"&amp;B56&amp;"'!"&amp;$O$1),"")</f>
        <v>44227</v>
      </c>
      <c r="P56" s="106" t="s">
        <v>526</v>
      </c>
    </row>
    <row r="57" spans="1:16" x14ac:dyDescent="0.25">
      <c r="A57" s="112" t="s">
        <v>247</v>
      </c>
      <c r="B57" s="51" t="s">
        <v>247</v>
      </c>
      <c r="C57" s="51" t="str">
        <f ca="1">INDIRECT("'"&amp;B57&amp;"'!"&amp;$C$1)</f>
        <v>Jostens, Inc.</v>
      </c>
      <c r="D57" s="131" t="s">
        <v>57</v>
      </c>
      <c r="E57" s="97">
        <f t="shared" ca="1" si="6"/>
        <v>4</v>
      </c>
      <c r="F57" s="97" t="str">
        <f t="shared" ca="1" si="7"/>
        <v>Bank America NA</v>
      </c>
      <c r="G57" s="51" t="s">
        <v>183</v>
      </c>
      <c r="H57" s="51" t="s">
        <v>72</v>
      </c>
      <c r="I57" s="51" t="str">
        <f ca="1">IF(INDIRECT("'"&amp;A57&amp;"'!"&amp;$I$1)="","-",INDIRECT("'"&amp;A57&amp;"'!"&amp;$I$1))</f>
        <v>Platinum Equity</v>
      </c>
      <c r="J57" s="98" t="str">
        <f ca="1">IF(INDIRECT("'"&amp;B57&amp;"'!"&amp;$J$1)="","-",INDIRECT("'"&amp;B57&amp;"'!"&amp;$J$1))</f>
        <v>Michael Sorna</v>
      </c>
      <c r="K57" s="96" t="s">
        <v>60</v>
      </c>
      <c r="L57" s="46" t="s">
        <v>275</v>
      </c>
      <c r="M57" s="100">
        <v>44421</v>
      </c>
      <c r="N57" s="100">
        <v>44445</v>
      </c>
      <c r="O57" s="100">
        <f ca="1">IF(K57="done",INDIRECT("'"&amp;A57&amp;"'!"&amp;$O$1),"")</f>
        <v>44377</v>
      </c>
      <c r="P57" s="106" t="s">
        <v>695</v>
      </c>
    </row>
    <row r="58" spans="1:16" hidden="1" x14ac:dyDescent="0.25">
      <c r="A58" s="95" t="s">
        <v>178</v>
      </c>
      <c r="B58" s="102" t="s">
        <v>178</v>
      </c>
      <c r="C58" s="102" t="str">
        <f ca="1">INDIRECT("'"&amp;A58&amp;"'!"&amp;$C$1)</f>
        <v>KIK Custom Products</v>
      </c>
      <c r="D58" s="96" t="s">
        <v>57</v>
      </c>
      <c r="E58" s="97">
        <f t="shared" ca="1" si="6"/>
        <v>3</v>
      </c>
      <c r="F58" s="97" t="str">
        <f t="shared" ca="1" si="7"/>
        <v>Barclays Bank</v>
      </c>
      <c r="G58" s="51" t="s">
        <v>183</v>
      </c>
      <c r="H58" s="51" t="s">
        <v>169</v>
      </c>
      <c r="I58" s="51" t="str">
        <f ca="1">IF(INDIRECT("'"&amp;A58&amp;"'!"&amp;$I$1)="","-",INDIRECT("'"&amp;A58&amp;"'!"&amp;$I$1))</f>
        <v>Centerbridge</v>
      </c>
      <c r="J58" s="98" t="str">
        <f ca="1">INDIRECT("'"&amp;A58&amp;"'!"&amp;$J$1)</f>
        <v>Michael Sorna</v>
      </c>
      <c r="K58" s="96" t="s">
        <v>274</v>
      </c>
      <c r="L58" s="46" t="s">
        <v>275</v>
      </c>
      <c r="M58" s="100">
        <v>43971</v>
      </c>
      <c r="N58" s="100">
        <v>43977</v>
      </c>
      <c r="O58" s="100" t="str">
        <f ca="1">IF(K58="Done",INDIRECT("'"&amp;A58&amp;"'!"&amp;$O$1),"")</f>
        <v/>
      </c>
      <c r="P58" s="106" t="s">
        <v>503</v>
      </c>
    </row>
    <row r="59" spans="1:16" x14ac:dyDescent="0.25">
      <c r="A59" s="45" t="s">
        <v>419</v>
      </c>
      <c r="B59" s="51" t="s">
        <v>419</v>
      </c>
      <c r="C59" s="51" t="str">
        <f ca="1">INDIRECT("'"&amp;B59&amp;"'!"&amp;$C$1)</f>
        <v>KAR Auction Services</v>
      </c>
      <c r="D59" s="131" t="s">
        <v>491</v>
      </c>
      <c r="E59" s="97">
        <f t="shared" ca="1" si="6"/>
        <v>3</v>
      </c>
      <c r="F59" s="97" t="str">
        <f t="shared" ca="1" si="7"/>
        <v>JPM</v>
      </c>
      <c r="G59" s="51" t="s">
        <v>67</v>
      </c>
      <c r="H59" s="51" t="s">
        <v>67</v>
      </c>
      <c r="I59" s="51" t="str">
        <f ca="1">IF(INDIRECT("'"&amp;A59&amp;"'!"&amp;$I$1)="","-",INDIRECT("'"&amp;A59&amp;"'!"&amp;$I$1))</f>
        <v>Public: KAR</v>
      </c>
      <c r="J59" s="98" t="str">
        <f ca="1">IF(INDIRECT("'"&amp;B59&amp;"'!"&amp;$J$1)="","-",INDIRECT("'"&amp;B59&amp;"'!"&amp;$J$1))</f>
        <v>Langston Johnson</v>
      </c>
      <c r="K59" s="96" t="s">
        <v>60</v>
      </c>
      <c r="L59" s="46" t="s">
        <v>275</v>
      </c>
      <c r="M59" s="100">
        <v>44412</v>
      </c>
      <c r="N59" s="100">
        <v>44415</v>
      </c>
      <c r="O59" s="100">
        <f ca="1">IF(K59="done",INDIRECT("'"&amp;A59&amp;"'!"&amp;$O$1),"")</f>
        <v>44377</v>
      </c>
      <c r="P59" s="106" t="s">
        <v>672</v>
      </c>
    </row>
    <row r="60" spans="1:16" hidden="1" x14ac:dyDescent="0.25">
      <c r="A60" s="95" t="s">
        <v>181</v>
      </c>
      <c r="B60" s="102" t="s">
        <v>181</v>
      </c>
      <c r="C60" s="102" t="str">
        <f ca="1">INDIRECT("'"&amp;A60&amp;"'!"&amp;$C$1)</f>
        <v>Life Time Fitness</v>
      </c>
      <c r="D60" s="131" t="s">
        <v>66</v>
      </c>
      <c r="E60" s="97">
        <f t="shared" ca="1" si="6"/>
        <v>3</v>
      </c>
      <c r="F60" s="97" t="str">
        <f t="shared" ca="1" si="7"/>
        <v>Deutsche Bank</v>
      </c>
      <c r="G60" s="51" t="s">
        <v>58</v>
      </c>
      <c r="H60" s="51" t="s">
        <v>94</v>
      </c>
      <c r="I60" s="51" t="str">
        <f ca="1">IF(INDIRECT("'"&amp;A60&amp;"'!"&amp;$I$1)="","-",INDIRECT("'"&amp;A60&amp;"'!"&amp;$I$1))</f>
        <v>Leonard Green and TPG</v>
      </c>
      <c r="J60" s="98" t="str">
        <f ca="1">INDIRECT("'"&amp;A60&amp;"'!"&amp;$J$1)</f>
        <v>Michael Sorna</v>
      </c>
      <c r="K60" s="96" t="s">
        <v>274</v>
      </c>
      <c r="L60" s="46" t="s">
        <v>275</v>
      </c>
      <c r="M60" s="100">
        <v>44145</v>
      </c>
      <c r="N60" s="100">
        <v>44174</v>
      </c>
      <c r="O60" s="100" t="str">
        <f ca="1">IF(K60="Done",INDIRECT("'"&amp;A60&amp;"'!"&amp;$O$1),"")</f>
        <v/>
      </c>
      <c r="P60" s="106" t="s">
        <v>548</v>
      </c>
    </row>
    <row r="61" spans="1:16" x14ac:dyDescent="0.25">
      <c r="A61" s="45" t="s">
        <v>409</v>
      </c>
      <c r="B61" s="51" t="s">
        <v>410</v>
      </c>
      <c r="C61" s="51" t="str">
        <f ca="1">INDIRECT("'"&amp;B61&amp;"'!"&amp;$C$1)</f>
        <v>Knowlton Development Corporation Inc.</v>
      </c>
      <c r="D61" s="131" t="s">
        <v>522</v>
      </c>
      <c r="E61" s="97">
        <f t="shared" ca="1" si="6"/>
        <v>3</v>
      </c>
      <c r="F61" s="97" t="str">
        <f t="shared" ca="1" si="7"/>
        <v>UBS</v>
      </c>
      <c r="G61" s="51" t="s">
        <v>183</v>
      </c>
      <c r="H61" s="51" t="s">
        <v>169</v>
      </c>
      <c r="I61" s="51" t="str">
        <f ca="1">IF(INDIRECT("'"&amp;B61&amp;"'!"&amp;$I$1)="","-",INDIRECT("'"&amp;B61&amp;"'!"&amp;$I$1))</f>
        <v>Cornell Capital</v>
      </c>
      <c r="J61" s="98" t="str">
        <f t="shared" ref="J61:J67" ca="1" si="9">IF(INDIRECT("'"&amp;B61&amp;"'!"&amp;$J$1)="","-",INDIRECT("'"&amp;B61&amp;"'!"&amp;$J$1))</f>
        <v>Michael Sorna</v>
      </c>
      <c r="K61" s="96" t="s">
        <v>60</v>
      </c>
      <c r="L61" s="46" t="s">
        <v>275</v>
      </c>
      <c r="M61" s="100">
        <v>44299</v>
      </c>
      <c r="N61" s="100">
        <v>44326</v>
      </c>
      <c r="O61" s="100">
        <f ca="1">IF(K61="done",INDIRECT("'"&amp;B61&amp;"'!"&amp;$O$1),"")</f>
        <v>44227</v>
      </c>
      <c r="P61" s="106" t="s">
        <v>645</v>
      </c>
    </row>
    <row r="62" spans="1:16" hidden="1" x14ac:dyDescent="0.25">
      <c r="A62" s="95" t="s">
        <v>99</v>
      </c>
      <c r="B62" s="51" t="s">
        <v>99</v>
      </c>
      <c r="C62" s="51" t="str">
        <f ca="1">INDIRECT("'"&amp;B62&amp;"'!"&amp;$C$1)</f>
        <v>Mastronardi Produce</v>
      </c>
      <c r="D62" s="115" t="s">
        <v>57</v>
      </c>
      <c r="E62" s="97">
        <f t="shared" ca="1" si="6"/>
        <v>3</v>
      </c>
      <c r="F62" s="97" t="e">
        <f t="shared" ca="1" si="7"/>
        <v>#N/A</v>
      </c>
      <c r="G62" s="51" t="s">
        <v>98</v>
      </c>
      <c r="H62" s="51" t="s">
        <v>65</v>
      </c>
      <c r="I62" s="51" t="str">
        <f ca="1">IF(INDIRECT("'"&amp;A62&amp;"'!"&amp;$I$1)="","-",INDIRECT("'"&amp;A62&amp;"'!"&amp;$I$1))</f>
        <v>MetalMark Capital/Mastronardi Family</v>
      </c>
      <c r="J62" s="98" t="str">
        <f t="shared" ca="1" si="9"/>
        <v>Michael Sorna</v>
      </c>
      <c r="K62" s="96" t="s">
        <v>274</v>
      </c>
      <c r="L62" s="108" t="s">
        <v>275</v>
      </c>
      <c r="M62" s="100">
        <v>43557</v>
      </c>
      <c r="N62" s="100">
        <v>43557</v>
      </c>
      <c r="O62" s="100" t="str">
        <f ca="1">IF(K62="done",INDIRECT("'"&amp;A62&amp;"'!"&amp;$O$1),"")</f>
        <v/>
      </c>
      <c r="P62" s="116" t="s">
        <v>335</v>
      </c>
    </row>
    <row r="63" spans="1:16" x14ac:dyDescent="0.25">
      <c r="A63" s="45" t="s">
        <v>664</v>
      </c>
      <c r="B63" s="51" t="s">
        <v>664</v>
      </c>
      <c r="C63" s="51" t="str">
        <f ca="1">INDIRECT("'"&amp;B63&amp;"'!"&amp;$C$1)</f>
        <v>Madison IAQ</v>
      </c>
      <c r="E63" s="97">
        <f t="shared" ref="E63:E94" ca="1" si="10">IF(INDIRECT("'"&amp;B63&amp;"'!"&amp;$E$1)="","-",INDIRECT("'"&amp;B63&amp;"'!"&amp;$E$1))</f>
        <v>3</v>
      </c>
      <c r="F63" s="97" t="str">
        <f t="shared" ref="F63:F94" ca="1" si="11">IF(INDIRECT("'"&amp;B63&amp;"'!"&amp;$F$1)="","-",INDIRECT("'"&amp;B63&amp;"'!"&amp;$F$1))</f>
        <v>GS</v>
      </c>
      <c r="G63" s="51" t="s">
        <v>538</v>
      </c>
      <c r="H63" s="51" t="s">
        <v>72</v>
      </c>
      <c r="I63" s="51" t="str">
        <f ca="1">IF(INDIRECT("'"&amp;B63&amp;"'!"&amp;$I$1)="","-",INDIRECT("'"&amp;B63&amp;"'!"&amp;$I$1))</f>
        <v>Madison Industries</v>
      </c>
      <c r="J63" s="98" t="str">
        <f t="shared" ca="1" si="9"/>
        <v>Michael Sorna</v>
      </c>
      <c r="K63" s="96" t="s">
        <v>60</v>
      </c>
      <c r="L63" s="46" t="s">
        <v>275</v>
      </c>
      <c r="M63" s="100">
        <v>44383</v>
      </c>
      <c r="N63" s="100">
        <v>44403</v>
      </c>
      <c r="O63" s="100">
        <f ca="1">IF(K63="done",INDIRECT("'"&amp;B63&amp;"'!"&amp;$O$1),"")</f>
        <v>44377</v>
      </c>
      <c r="P63" s="106" t="s">
        <v>526</v>
      </c>
    </row>
    <row r="64" spans="1:16" x14ac:dyDescent="0.25">
      <c r="A64" s="114" t="s">
        <v>452</v>
      </c>
      <c r="B64" s="51" t="s">
        <v>452</v>
      </c>
      <c r="C64" s="102" t="str">
        <f ca="1">INDIRECT("'"&amp;A64&amp;"'!"&amp;$C$1)</f>
        <v>Merlin Entertainment</v>
      </c>
      <c r="D64" s="131" t="s">
        <v>57</v>
      </c>
      <c r="E64" s="97">
        <f t="shared" ca="1" si="10"/>
        <v>3</v>
      </c>
      <c r="F64" s="97" t="str">
        <f t="shared" ca="1" si="11"/>
        <v>BAML, DB</v>
      </c>
      <c r="G64" s="51" t="s">
        <v>262</v>
      </c>
      <c r="H64" s="51" t="s">
        <v>59</v>
      </c>
      <c r="I64" s="51" t="str">
        <f ca="1">IF(INDIRECT("'"&amp;A64&amp;"'!"&amp;$I$1)="","-",INDIRECT("'"&amp;A64&amp;"'!"&amp;$I$1))</f>
        <v>Consortium</v>
      </c>
      <c r="J64" s="98" t="str">
        <f t="shared" ca="1" si="9"/>
        <v>Michael Sorna</v>
      </c>
      <c r="K64" s="96" t="s">
        <v>60</v>
      </c>
      <c r="L64" s="46" t="s">
        <v>275</v>
      </c>
      <c r="M64" s="100">
        <v>44156</v>
      </c>
      <c r="N64" s="100">
        <v>44161</v>
      </c>
      <c r="O64" s="100">
        <f ca="1">IF(K64="done",INDIRECT("'"&amp;A64&amp;"'!"&amp;$O$1),"")</f>
        <v>44104</v>
      </c>
      <c r="P64" s="106" t="s">
        <v>546</v>
      </c>
    </row>
    <row r="65" spans="1:17" hidden="1" x14ac:dyDescent="0.25">
      <c r="A65" s="45" t="s">
        <v>580</v>
      </c>
      <c r="B65" s="51" t="s">
        <v>580</v>
      </c>
      <c r="C65" s="51" t="str">
        <f t="shared" ref="C65:C70" ca="1" si="12">INDIRECT("'"&amp;B65&amp;"'!"&amp;$C$1)</f>
        <v>Murphy USA</v>
      </c>
      <c r="E65" s="97">
        <f t="shared" ca="1" si="10"/>
        <v>2</v>
      </c>
      <c r="F65" s="97" t="str">
        <f t="shared" ca="1" si="11"/>
        <v>RBC</v>
      </c>
      <c r="G65" s="51" t="s">
        <v>581</v>
      </c>
      <c r="H65" s="51" t="s">
        <v>582</v>
      </c>
      <c r="I65" s="51" t="str">
        <f ca="1">IF(INDIRECT("'"&amp;B65&amp;"'!"&amp;$I$1)="","-",INDIRECT("'"&amp;B65&amp;"'!"&amp;$I$1))</f>
        <v>Public: MUSA</v>
      </c>
      <c r="J65" s="98" t="str">
        <f t="shared" ca="1" si="9"/>
        <v>Michael Sorna</v>
      </c>
      <c r="K65" s="96" t="s">
        <v>274</v>
      </c>
      <c r="L65" s="46" t="s">
        <v>275</v>
      </c>
      <c r="M65" s="100">
        <v>44315</v>
      </c>
      <c r="N65" s="100">
        <v>44344</v>
      </c>
      <c r="O65" s="100" t="str">
        <f ca="1">IF(K65="done",INDIRECT("'"&amp;B65&amp;"'!"&amp;$O$1),"")</f>
        <v/>
      </c>
      <c r="P65" s="106" t="s">
        <v>526</v>
      </c>
    </row>
    <row r="66" spans="1:17" x14ac:dyDescent="0.25">
      <c r="A66" s="45" t="s">
        <v>355</v>
      </c>
      <c r="B66" s="51" t="s">
        <v>355</v>
      </c>
      <c r="C66" s="51" t="str">
        <f t="shared" ca="1" si="12"/>
        <v>Mister Car Wash</v>
      </c>
      <c r="D66" s="131" t="s">
        <v>611</v>
      </c>
      <c r="E66" s="97">
        <f t="shared" ca="1" si="10"/>
        <v>3</v>
      </c>
      <c r="F66" s="97" t="str">
        <f t="shared" ca="1" si="11"/>
        <v>Jefferies</v>
      </c>
      <c r="G66" s="51" t="s">
        <v>67</v>
      </c>
      <c r="H66" s="51" t="s">
        <v>94</v>
      </c>
      <c r="I66" s="51" t="str">
        <f ca="1">IF(INDIRECT("'"&amp;A66&amp;"'!"&amp;$I$1)="","-",INDIRECT("'"&amp;A66&amp;"'!"&amp;$I$1))</f>
        <v xml:space="preserve">Leonard Green </v>
      </c>
      <c r="J66" s="98" t="str">
        <f t="shared" ca="1" si="9"/>
        <v>Michael Sorna</v>
      </c>
      <c r="K66" s="96" t="s">
        <v>60</v>
      </c>
      <c r="L66" s="46" t="s">
        <v>275</v>
      </c>
      <c r="M66" s="100">
        <v>44319</v>
      </c>
      <c r="N66" s="100">
        <v>44331</v>
      </c>
      <c r="O66" s="100">
        <f ca="1">IF(K66="done",INDIRECT("'"&amp;A66&amp;"'!"&amp;$O$1),"")</f>
        <v>44196</v>
      </c>
      <c r="P66" s="106" t="s">
        <v>627</v>
      </c>
    </row>
    <row r="67" spans="1:17" x14ac:dyDescent="0.25">
      <c r="A67" s="45" t="s">
        <v>678</v>
      </c>
      <c r="B67" s="51" t="s">
        <v>678</v>
      </c>
      <c r="C67" s="51" t="str">
        <f t="shared" ca="1" si="12"/>
        <v>Monogram Food</v>
      </c>
      <c r="E67" s="97">
        <f t="shared" ca="1" si="10"/>
        <v>3</v>
      </c>
      <c r="F67" s="97" t="str">
        <f t="shared" ca="1" si="11"/>
        <v>JPM</v>
      </c>
      <c r="G67" s="51" t="s">
        <v>98</v>
      </c>
      <c r="H67" s="51" t="s">
        <v>65</v>
      </c>
      <c r="I67" s="51" t="str">
        <f ca="1">IF(INDIRECT("'"&amp;A67&amp;"'!"&amp;$I$1)="","-",INDIRECT("'"&amp;A67&amp;"'!"&amp;$I$1))</f>
        <v>Pritzker Private Capital + Others</v>
      </c>
      <c r="J67" s="98" t="str">
        <f t="shared" ca="1" si="9"/>
        <v>Michael Sorna</v>
      </c>
      <c r="K67" s="96" t="s">
        <v>60</v>
      </c>
      <c r="L67" s="46" t="s">
        <v>275</v>
      </c>
      <c r="M67" s="100">
        <v>44439</v>
      </c>
      <c r="N67" s="100">
        <v>44439</v>
      </c>
      <c r="O67" s="100">
        <f ca="1">IF(K67="done",INDIRECT("'"&amp;A67&amp;"'!"&amp;$O$1),"")</f>
        <v>44377</v>
      </c>
      <c r="P67" s="106" t="s">
        <v>526</v>
      </c>
    </row>
    <row r="68" spans="1:17" x14ac:dyDescent="0.25">
      <c r="A68" s="95" t="s">
        <v>186</v>
      </c>
      <c r="B68" s="51" t="s">
        <v>186</v>
      </c>
      <c r="C68" s="51" t="str">
        <f t="shared" ca="1" si="12"/>
        <v>MyEyeDr</v>
      </c>
      <c r="D68" s="131" t="s">
        <v>66</v>
      </c>
      <c r="E68" s="97">
        <f t="shared" ca="1" si="10"/>
        <v>3</v>
      </c>
      <c r="F68" s="97" t="str">
        <f t="shared" ca="1" si="11"/>
        <v>Goldman Sachs</v>
      </c>
      <c r="G68" s="51" t="s">
        <v>62</v>
      </c>
      <c r="H68" s="51" t="s">
        <v>63</v>
      </c>
      <c r="I68" s="51" t="str">
        <f ca="1">IF(INDIRECT("'"&amp;A68&amp;"'!"&amp;$I$1)="","-",INDIRECT("'"&amp;A68&amp;"'!"&amp;$I$1))</f>
        <v>Altas Partners (ex Onex partner) and Caisse de dépôt et placement du Québec</v>
      </c>
      <c r="J68" s="98" t="str">
        <f ca="1">INDIRECT("'"&amp;A68&amp;"'!"&amp;$J$1)</f>
        <v>Michael Sorna</v>
      </c>
      <c r="K68" s="96" t="s">
        <v>60</v>
      </c>
      <c r="L68" s="46" t="s">
        <v>275</v>
      </c>
      <c r="M68" s="100">
        <v>44435</v>
      </c>
      <c r="N68" s="100">
        <v>44445</v>
      </c>
      <c r="O68" s="100">
        <f ca="1">IF(K68="done",INDIRECT("'"&amp;A68&amp;"'!"&amp;$O$1),"")</f>
        <v>44377</v>
      </c>
      <c r="P68" s="106" t="s">
        <v>696</v>
      </c>
    </row>
    <row r="69" spans="1:17" hidden="1" x14ac:dyDescent="0.25">
      <c r="A69" s="114" t="s">
        <v>435</v>
      </c>
      <c r="B69" s="102" t="s">
        <v>435</v>
      </c>
      <c r="C69" s="51" t="str">
        <f t="shared" ca="1" si="12"/>
        <v>NBTY</v>
      </c>
      <c r="D69" s="131" t="s">
        <v>57</v>
      </c>
      <c r="E69" s="97">
        <f t="shared" ca="1" si="10"/>
        <v>5</v>
      </c>
      <c r="F69" s="97" t="str">
        <f t="shared" ca="1" si="11"/>
        <v>Bank America NA</v>
      </c>
      <c r="G69" s="51" t="s">
        <v>194</v>
      </c>
      <c r="H69" s="51" t="s">
        <v>169</v>
      </c>
      <c r="I69" s="51" t="str">
        <f ca="1">IF(INDIRECT("'"&amp;B69&amp;"'!"&amp;$I$1)="","-",INDIRECT("'"&amp;B69&amp;"'!"&amp;$I$1))</f>
        <v>KKR and Carlyle</v>
      </c>
      <c r="J69" s="98" t="str">
        <f ca="1">INDIRECT("'"&amp;B69&amp;"'!"&amp;$J$1)</f>
        <v>Michael Sorna</v>
      </c>
      <c r="K69" s="96" t="s">
        <v>274</v>
      </c>
      <c r="L69" s="46" t="s">
        <v>275</v>
      </c>
      <c r="M69" s="100">
        <v>44334</v>
      </c>
      <c r="N69" s="100">
        <v>44344</v>
      </c>
      <c r="O69" s="100" t="str">
        <f ca="1">IF(K69="Done",INDIRECT("'"&amp;B69&amp;"'!"&amp;$O$1),"")</f>
        <v/>
      </c>
      <c r="P69" s="106" t="s">
        <v>633</v>
      </c>
    </row>
    <row r="70" spans="1:17" hidden="1" x14ac:dyDescent="0.25">
      <c r="A70" s="95" t="s">
        <v>87</v>
      </c>
      <c r="B70" s="51" t="s">
        <v>87</v>
      </c>
      <c r="C70" s="51" t="str">
        <f t="shared" ca="1" si="12"/>
        <v>NPC International</v>
      </c>
      <c r="D70" s="96" t="s">
        <v>66</v>
      </c>
      <c r="E70" s="97">
        <f t="shared" ca="1" si="10"/>
        <v>3</v>
      </c>
      <c r="F70" s="97" t="e">
        <f t="shared" ca="1" si="11"/>
        <v>#N/A</v>
      </c>
      <c r="G70" s="51" t="s">
        <v>64</v>
      </c>
      <c r="H70" s="51" t="s">
        <v>65</v>
      </c>
      <c r="J70" s="98" t="str">
        <f ca="1">IF(INDIRECT("'"&amp;B70&amp;"'!"&amp;$J$1)="","-",INDIRECT("'"&amp;B70&amp;"'!"&amp;$J$1))</f>
        <v>Michael Sorna</v>
      </c>
      <c r="K70" s="96" t="s">
        <v>274</v>
      </c>
      <c r="L70" s="46"/>
      <c r="M70" s="100"/>
      <c r="N70" s="100"/>
      <c r="O70" s="100" t="str">
        <f ca="1">IF(K70="done",INDIRECT("'"&amp;A70&amp;"'!"&amp;$O$1),"")</f>
        <v/>
      </c>
      <c r="P70" s="101" t="s">
        <v>239</v>
      </c>
    </row>
    <row r="71" spans="1:17" hidden="1" x14ac:dyDescent="0.25">
      <c r="A71" s="95" t="s">
        <v>196</v>
      </c>
      <c r="B71" s="102" t="s">
        <v>196</v>
      </c>
      <c r="C71" s="102" t="str">
        <f ca="1">INDIRECT("'"&amp;A71&amp;"'!"&amp;$C$1)</f>
        <v>Pabst Blue Ribbon</v>
      </c>
      <c r="D71" s="131" t="s">
        <v>57</v>
      </c>
      <c r="E71" s="97">
        <f t="shared" ca="1" si="10"/>
        <v>4</v>
      </c>
      <c r="F71" s="97" t="str">
        <f t="shared" ca="1" si="11"/>
        <v>UBS AG/Stamford</v>
      </c>
      <c r="G71" s="51" t="s">
        <v>74</v>
      </c>
      <c r="H71" s="51" t="s">
        <v>65</v>
      </c>
      <c r="I71" s="51" t="str">
        <f t="shared" ref="I71:I76" ca="1" si="13">IF(INDIRECT("'"&amp;A71&amp;"'!"&amp;$I$1)="","-",INDIRECT("'"&amp;A71&amp;"'!"&amp;$I$1))</f>
        <v>Great American Brewing Company and TSG Investments</v>
      </c>
      <c r="J71" s="98" t="str">
        <f ca="1">INDIRECT("'"&amp;A71&amp;"'!"&amp;$J$1)</f>
        <v>Michael Sorna</v>
      </c>
      <c r="K71" s="96" t="s">
        <v>274</v>
      </c>
      <c r="L71" s="46" t="s">
        <v>275</v>
      </c>
      <c r="M71" s="100">
        <v>44320</v>
      </c>
      <c r="N71" s="100">
        <v>44342</v>
      </c>
      <c r="O71" s="100" t="str">
        <f ca="1">IF(K71="Done",INDIRECT("'"&amp;A71&amp;"'!"&amp;$O$1),"")</f>
        <v/>
      </c>
      <c r="P71" s="106" t="s">
        <v>608</v>
      </c>
    </row>
    <row r="72" spans="1:17" x14ac:dyDescent="0.25">
      <c r="A72" s="114" t="s">
        <v>405</v>
      </c>
      <c r="B72" s="51" t="s">
        <v>405</v>
      </c>
      <c r="C72" s="51" t="str">
        <f ca="1">INDIRECT("'"&amp;B72&amp;"'!"&amp;$C$1)</f>
        <v>NASCAR</v>
      </c>
      <c r="D72" s="131" t="s">
        <v>66</v>
      </c>
      <c r="E72" s="97">
        <f t="shared" ca="1" si="10"/>
        <v>2</v>
      </c>
      <c r="F72" s="97" t="str">
        <f t="shared" ca="1" si="11"/>
        <v>GS</v>
      </c>
      <c r="G72" s="51" t="s">
        <v>262</v>
      </c>
      <c r="H72" s="51" t="s">
        <v>59</v>
      </c>
      <c r="I72" s="51" t="str">
        <f t="shared" ca="1" si="13"/>
        <v xml:space="preserve">Private - The France Family </v>
      </c>
      <c r="J72" s="98" t="str">
        <f ca="1">IF(INDIRECT("'"&amp;B72&amp;"'!"&amp;$J$1)="","-",INDIRECT("'"&amp;B72&amp;"'!"&amp;$J$1))</f>
        <v>Michael Sorna</v>
      </c>
      <c r="K72" s="96" t="s">
        <v>60</v>
      </c>
      <c r="L72" s="46" t="s">
        <v>275</v>
      </c>
      <c r="M72" s="100">
        <v>44438</v>
      </c>
      <c r="N72" s="100">
        <v>44445</v>
      </c>
      <c r="O72" s="100">
        <f ca="1">IF(K72="done",INDIRECT("'"&amp;A72&amp;"'!"&amp;$O$1),"")</f>
        <v>44377</v>
      </c>
      <c r="P72" s="106" t="s">
        <v>697</v>
      </c>
    </row>
    <row r="73" spans="1:17" x14ac:dyDescent="0.25">
      <c r="A73" s="95" t="s">
        <v>189</v>
      </c>
      <c r="B73" s="102" t="s">
        <v>189</v>
      </c>
      <c r="C73" s="102" t="str">
        <f ca="1">INDIRECT("'"&amp;A73&amp;"'!"&amp;$C$1)</f>
        <v>Navico</v>
      </c>
      <c r="D73" s="131" t="s">
        <v>66</v>
      </c>
      <c r="E73" s="97">
        <f t="shared" ca="1" si="10"/>
        <v>3</v>
      </c>
      <c r="F73" s="97" t="str">
        <f t="shared" ca="1" si="11"/>
        <v>Global Loan Agen</v>
      </c>
      <c r="G73" s="51" t="s">
        <v>192</v>
      </c>
      <c r="H73" s="51" t="s">
        <v>193</v>
      </c>
      <c r="I73" s="51" t="str">
        <f t="shared" ca="1" si="13"/>
        <v>Altor Fund IV and GS Merchant bank</v>
      </c>
      <c r="J73" s="98" t="str">
        <f ca="1">INDIRECT("'"&amp;A73&amp;"'!"&amp;$J$1)</f>
        <v>Michael Sorna</v>
      </c>
      <c r="K73" s="96" t="s">
        <v>60</v>
      </c>
      <c r="L73" s="46" t="s">
        <v>275</v>
      </c>
      <c r="M73" s="100">
        <v>44315</v>
      </c>
      <c r="N73" s="100">
        <v>44344</v>
      </c>
      <c r="O73" s="100">
        <f ca="1">IF(K73="Done",INDIRECT("'"&amp;A73&amp;"'!"&amp;$O$1),"")</f>
        <v>44286</v>
      </c>
      <c r="P73" s="106" t="s">
        <v>632</v>
      </c>
    </row>
    <row r="74" spans="1:17" hidden="1" x14ac:dyDescent="0.25">
      <c r="A74" s="95" t="s">
        <v>149</v>
      </c>
      <c r="B74" s="102" t="s">
        <v>149</v>
      </c>
      <c r="C74" s="102" t="str">
        <f ca="1">INDIRECT("'"&amp;$A74&amp;"'!"&amp;$C$1)</f>
        <v>Pelican Products</v>
      </c>
      <c r="D74" s="96" t="s">
        <v>66</v>
      </c>
      <c r="E74" s="97">
        <f t="shared" ca="1" si="10"/>
        <v>3</v>
      </c>
      <c r="F74" s="97" t="str">
        <f t="shared" ca="1" si="11"/>
        <v>Morgan Stan Sr</v>
      </c>
      <c r="G74" s="51" t="s">
        <v>150</v>
      </c>
      <c r="H74" s="51" t="s">
        <v>72</v>
      </c>
      <c r="I74" s="51" t="str">
        <f t="shared" ca="1" si="13"/>
        <v>Behrman Capital</v>
      </c>
      <c r="J74" s="98" t="str">
        <f ca="1">IF(INDIRECT("'"&amp;B74&amp;"'!"&amp;$J$1)="","-",INDIRECT("'"&amp;B74&amp;"'!"&amp;$J$1))</f>
        <v>Michael Sorna</v>
      </c>
      <c r="K74" s="96" t="s">
        <v>274</v>
      </c>
      <c r="L74" s="46" t="s">
        <v>275</v>
      </c>
      <c r="M74" s="100">
        <v>43784</v>
      </c>
      <c r="N74" s="100">
        <v>43788</v>
      </c>
      <c r="O74" s="100" t="str">
        <f ca="1">IF(K74="done",INDIRECT("'"&amp;A74&amp;"'!"&amp;$O$1),"")</f>
        <v/>
      </c>
      <c r="P74" s="106" t="s">
        <v>446</v>
      </c>
    </row>
    <row r="75" spans="1:17" x14ac:dyDescent="0.25">
      <c r="A75" s="95" t="s">
        <v>88</v>
      </c>
      <c r="B75" s="51" t="s">
        <v>88</v>
      </c>
      <c r="C75" s="51" t="str">
        <f ca="1">INDIRECT("'"&amp;B75&amp;"'!"&amp;$C$1)</f>
        <v>Packers Holdings</v>
      </c>
      <c r="D75" s="131" t="s">
        <v>57</v>
      </c>
      <c r="E75" s="97">
        <f t="shared" ca="1" si="10"/>
        <v>3</v>
      </c>
      <c r="F75" s="97" t="str">
        <f t="shared" ca="1" si="11"/>
        <v>Jefferies Fin</v>
      </c>
      <c r="G75" s="51" t="s">
        <v>89</v>
      </c>
      <c r="H75" s="51" t="s">
        <v>76</v>
      </c>
      <c r="I75" s="51" t="str">
        <f t="shared" ca="1" si="13"/>
        <v>Leonard Green</v>
      </c>
      <c r="J75" s="98" t="str">
        <f ca="1">IF(INDIRECT("'"&amp;B75&amp;"'!"&amp;$J$1)="","-",INDIRECT("'"&amp;B75&amp;"'!"&amp;$J$1))</f>
        <v>Michael Sorna</v>
      </c>
      <c r="K75" s="96" t="s">
        <v>60</v>
      </c>
      <c r="L75" s="46" t="s">
        <v>275</v>
      </c>
      <c r="M75" s="100">
        <v>44432</v>
      </c>
      <c r="N75" s="100">
        <v>44445</v>
      </c>
      <c r="O75" s="100">
        <f ca="1">IF(K75="done",INDIRECT("'"&amp;A75&amp;"'!"&amp;$O$1),"")</f>
        <v>44377</v>
      </c>
      <c r="P75" s="106" t="s">
        <v>698</v>
      </c>
      <c r="Q75" s="106"/>
    </row>
    <row r="76" spans="1:17" hidden="1" x14ac:dyDescent="0.25">
      <c r="A76" s="45" t="s">
        <v>396</v>
      </c>
      <c r="B76" s="51" t="s">
        <v>396</v>
      </c>
      <c r="C76" s="51" t="str">
        <f ca="1">INDIRECT("'"&amp;B76&amp;"'!"&amp;$C$1)</f>
        <v>PLZ Aeroscience Corporation</v>
      </c>
      <c r="E76" s="97">
        <f t="shared" ca="1" si="10"/>
        <v>3</v>
      </c>
      <c r="F76" s="97" t="str">
        <f t="shared" ca="1" si="11"/>
        <v>ANTARES</v>
      </c>
      <c r="G76" s="51" t="s">
        <v>183</v>
      </c>
      <c r="H76" s="51" t="s">
        <v>169</v>
      </c>
      <c r="I76" s="51" t="str">
        <f t="shared" ca="1" si="13"/>
        <v>The Pritzker Group</v>
      </c>
      <c r="J76" s="98" t="str">
        <f ca="1">IF(INDIRECT("'"&amp;B76&amp;"'!"&amp;$J$1)="","-",INDIRECT("'"&amp;B76&amp;"'!"&amp;$J$1))</f>
        <v>Michael Sorna</v>
      </c>
      <c r="K76" s="96" t="s">
        <v>274</v>
      </c>
      <c r="L76" s="46" t="s">
        <v>275</v>
      </c>
      <c r="M76" s="100">
        <v>44152</v>
      </c>
      <c r="N76" s="100">
        <v>44162</v>
      </c>
      <c r="O76" s="100" t="str">
        <f ca="1">IF(K76="done",INDIRECT("'"&amp;A76&amp;"'!"&amp;$O$1),"")</f>
        <v/>
      </c>
      <c r="P76" s="106" t="s">
        <v>547</v>
      </c>
    </row>
    <row r="77" spans="1:17" x14ac:dyDescent="0.25">
      <c r="A77" s="45" t="s">
        <v>576</v>
      </c>
      <c r="B77" s="51" t="s">
        <v>576</v>
      </c>
      <c r="C77" s="51" t="str">
        <f ca="1">INDIRECT("'"&amp;B77&amp;"'!"&amp;$C$1)</f>
        <v>PDC Brands</v>
      </c>
      <c r="E77" s="97">
        <f t="shared" ca="1" si="10"/>
        <v>3</v>
      </c>
      <c r="F77" s="97" t="str">
        <f t="shared" ca="1" si="11"/>
        <v>NOMURA</v>
      </c>
      <c r="G77" s="51" t="s">
        <v>220</v>
      </c>
      <c r="H77" s="51" t="s">
        <v>169</v>
      </c>
      <c r="I77" s="51" t="str">
        <f ca="1">IF(INDIRECT("'"&amp;B77&amp;"'!"&amp;$I$1)="","-",INDIRECT("'"&amp;B77&amp;"'!"&amp;$I$1))</f>
        <v>CVC Capital + Leonard Green</v>
      </c>
      <c r="J77" s="98" t="str">
        <f ca="1">IF(INDIRECT("'"&amp;B77&amp;"'!"&amp;$J$1)="","-",INDIRECT("'"&amp;B77&amp;"'!"&amp;$J$1))</f>
        <v>Michael Sorna</v>
      </c>
      <c r="K77" s="96" t="s">
        <v>60</v>
      </c>
      <c r="L77" s="46" t="s">
        <v>275</v>
      </c>
      <c r="M77" s="100">
        <v>44237</v>
      </c>
      <c r="N77" s="100">
        <v>44237</v>
      </c>
      <c r="O77" s="100">
        <f ca="1">IF(K77="done",INDIRECT("'"&amp;B77&amp;"'!"&amp;$O$1),"")</f>
        <v>44196</v>
      </c>
      <c r="P77" s="106" t="s">
        <v>526</v>
      </c>
    </row>
    <row r="78" spans="1:17" hidden="1" x14ac:dyDescent="0.25">
      <c r="A78" s="95" t="s">
        <v>203</v>
      </c>
      <c r="B78" s="102" t="s">
        <v>203</v>
      </c>
      <c r="C78" s="102" t="str">
        <f ca="1">INDIRECT("'"&amp;A78&amp;"'!"&amp;$C$1)</f>
        <v>Protection One</v>
      </c>
      <c r="D78" s="96" t="s">
        <v>204</v>
      </c>
      <c r="E78" s="97">
        <f t="shared" ca="1" si="10"/>
        <v>2</v>
      </c>
      <c r="F78" s="97" t="e">
        <f t="shared" ca="1" si="11"/>
        <v>#N/A</v>
      </c>
      <c r="G78" s="51" t="s">
        <v>101</v>
      </c>
      <c r="H78" s="51" t="s">
        <v>94</v>
      </c>
      <c r="J78" s="98" t="str">
        <f ca="1">INDIRECT("'"&amp;A78&amp;"'!"&amp;$J$1)</f>
        <v>Michael Sorna</v>
      </c>
      <c r="K78" s="96" t="s">
        <v>274</v>
      </c>
      <c r="L78" s="58"/>
      <c r="M78" s="100"/>
      <c r="N78" s="100"/>
      <c r="O78" s="100" t="str">
        <f ca="1">IF(K78="Done",INDIRECT("'"&amp;A78&amp;"'!"&amp;$O$1),"")</f>
        <v/>
      </c>
      <c r="P78" s="101" t="s">
        <v>240</v>
      </c>
    </row>
    <row r="79" spans="1:17" x14ac:dyDescent="0.25">
      <c r="A79" s="45" t="s">
        <v>681</v>
      </c>
      <c r="B79" s="51" t="s">
        <v>681</v>
      </c>
      <c r="C79" s="51" t="str">
        <f ca="1">INDIRECT("'"&amp;B79&amp;"'!"&amp;$C$1)</f>
        <v>Pilot Travel Centers</v>
      </c>
      <c r="E79" s="97">
        <f t="shared" ca="1" si="10"/>
        <v>2</v>
      </c>
      <c r="F79" s="97" t="str">
        <f t="shared" ca="1" si="11"/>
        <v>WF</v>
      </c>
      <c r="G79" s="51" t="s">
        <v>581</v>
      </c>
      <c r="H79" s="51" t="s">
        <v>582</v>
      </c>
      <c r="I79" s="51" t="str">
        <f ca="1">IF(INDIRECT("'"&amp;A79&amp;"'!"&amp;$I$1)="","-",INDIRECT("'"&amp;A79&amp;"'!"&amp;$I$1))</f>
        <v>Berkshire Hathaway + Pilot</v>
      </c>
      <c r="J79" s="98" t="str">
        <f ca="1">IF(INDIRECT("'"&amp;B79&amp;"'!"&amp;$J$1)="","-",INDIRECT("'"&amp;B79&amp;"'!"&amp;$J$1))</f>
        <v>Michael Sorna</v>
      </c>
      <c r="K79" s="96" t="s">
        <v>60</v>
      </c>
      <c r="L79" s="46" t="s">
        <v>275</v>
      </c>
      <c r="M79" s="100">
        <v>44439</v>
      </c>
      <c r="N79" s="100">
        <v>44439</v>
      </c>
      <c r="O79" s="100">
        <f ca="1">IF(K79="done",INDIRECT("'"&amp;A79&amp;"'!"&amp;$O$1),"")</f>
        <v>44377</v>
      </c>
      <c r="P79" s="106" t="s">
        <v>526</v>
      </c>
    </row>
    <row r="80" spans="1:17" x14ac:dyDescent="0.25">
      <c r="A80" s="112" t="s">
        <v>198</v>
      </c>
      <c r="B80" s="102" t="s">
        <v>198</v>
      </c>
      <c r="C80" s="102" t="str">
        <f ca="1">INDIRECT("'"&amp;A80&amp;"'!"&amp;$C$1)</f>
        <v>PlayCore</v>
      </c>
      <c r="D80" s="131" t="s">
        <v>66</v>
      </c>
      <c r="E80" s="97">
        <f t="shared" ca="1" si="10"/>
        <v>3</v>
      </c>
      <c r="F80" s="97" t="str">
        <f t="shared" ca="1" si="11"/>
        <v>Goldman Sachs</v>
      </c>
      <c r="G80" s="51" t="s">
        <v>199</v>
      </c>
      <c r="H80" s="51" t="s">
        <v>200</v>
      </c>
      <c r="I80" s="51" t="str">
        <f ca="1">IF(INDIRECT("'"&amp;A80&amp;"'!"&amp;$I$1)="","-",INDIRECT("'"&amp;A80&amp;"'!"&amp;$I$1))</f>
        <v>Court Square Capital</v>
      </c>
      <c r="J80" s="98" t="str">
        <f ca="1">INDIRECT("'"&amp;A80&amp;"'!"&amp;$J$1)</f>
        <v>Michael Sorna</v>
      </c>
      <c r="K80" s="96" t="s">
        <v>60</v>
      </c>
      <c r="L80" s="46" t="s">
        <v>275</v>
      </c>
      <c r="M80" s="100">
        <v>44420</v>
      </c>
      <c r="N80" s="100">
        <v>44445</v>
      </c>
      <c r="O80" s="100">
        <f ca="1">IF(K80="Done",INDIRECT("'"&amp;A80&amp;"'!"&amp;$O$1),"")</f>
        <v>44377</v>
      </c>
      <c r="P80" s="106" t="s">
        <v>699</v>
      </c>
    </row>
    <row r="81" spans="1:16" x14ac:dyDescent="0.25">
      <c r="A81" s="45" t="s">
        <v>572</v>
      </c>
      <c r="B81" s="51" t="s">
        <v>572</v>
      </c>
      <c r="C81" s="51" t="str">
        <f t="shared" ref="C81:C97" ca="1" si="14">INDIRECT("'"&amp;B81&amp;"'!"&amp;$C$1)</f>
        <v>PrimeSource</v>
      </c>
      <c r="E81" s="97">
        <f t="shared" ca="1" si="10"/>
        <v>4</v>
      </c>
      <c r="F81" s="97" t="str">
        <f t="shared" ca="1" si="11"/>
        <v>DB</v>
      </c>
      <c r="G81" s="51" t="s">
        <v>573</v>
      </c>
      <c r="H81" s="51" t="s">
        <v>72</v>
      </c>
      <c r="I81" s="51" t="str">
        <f ca="1">IF(INDIRECT("'"&amp;B81&amp;"'!"&amp;$I$1)="","-",INDIRECT("'"&amp;B81&amp;"'!"&amp;$I$1))</f>
        <v>Clearlake Capital</v>
      </c>
      <c r="J81" s="98" t="str">
        <f t="shared" ref="J81:J97" ca="1" si="15">IF(INDIRECT("'"&amp;B81&amp;"'!"&amp;$J$1)="","-",INDIRECT("'"&amp;B81&amp;"'!"&amp;$J$1))</f>
        <v>Michael Sorna</v>
      </c>
      <c r="K81" s="96" t="s">
        <v>60</v>
      </c>
      <c r="L81" s="46" t="s">
        <v>275</v>
      </c>
      <c r="M81" s="100">
        <v>44435</v>
      </c>
      <c r="N81" s="100">
        <v>44445</v>
      </c>
      <c r="O81" s="100">
        <f ca="1">IF(K81="done",INDIRECT("'"&amp;B81&amp;"'!"&amp;$O$1),"")</f>
        <v>44377</v>
      </c>
      <c r="P81" s="106" t="s">
        <v>700</v>
      </c>
    </row>
    <row r="82" spans="1:16" x14ac:dyDescent="0.25">
      <c r="A82" s="45" t="s">
        <v>569</v>
      </c>
      <c r="B82" s="51" t="s">
        <v>569</v>
      </c>
      <c r="C82" s="51" t="str">
        <f t="shared" ca="1" si="14"/>
        <v>Rent-A-Center</v>
      </c>
      <c r="E82" s="97">
        <f t="shared" ca="1" si="10"/>
        <v>4</v>
      </c>
      <c r="F82" s="97" t="str">
        <f t="shared" ca="1" si="11"/>
        <v>JPM</v>
      </c>
      <c r="G82" s="51" t="s">
        <v>538</v>
      </c>
      <c r="H82" s="51" t="s">
        <v>72</v>
      </c>
      <c r="I82" s="51" t="str">
        <f ca="1">IF(INDIRECT("'"&amp;B82&amp;"'!"&amp;$I$1)="","-",INDIRECT("'"&amp;B82&amp;"'!"&amp;$I$1))</f>
        <v>Public: RCII</v>
      </c>
      <c r="J82" s="98" t="str">
        <f t="shared" ca="1" si="15"/>
        <v>Michael Sorna</v>
      </c>
      <c r="K82" s="96" t="s">
        <v>60</v>
      </c>
      <c r="L82" s="46" t="s">
        <v>275</v>
      </c>
      <c r="M82" s="100">
        <v>44237</v>
      </c>
      <c r="N82" s="100">
        <v>44237</v>
      </c>
      <c r="O82" s="100">
        <f ca="1">IF(K82="done",INDIRECT("'"&amp;B82&amp;"'!"&amp;$O$1),"")</f>
        <v>44196</v>
      </c>
      <c r="P82" s="106" t="s">
        <v>526</v>
      </c>
    </row>
    <row r="83" spans="1:16" x14ac:dyDescent="0.25">
      <c r="A83" s="112" t="s">
        <v>223</v>
      </c>
      <c r="B83" s="51" t="s">
        <v>223</v>
      </c>
      <c r="C83" s="51" t="str">
        <f t="shared" ca="1" si="14"/>
        <v>Restaurant Technologies, Inc.</v>
      </c>
      <c r="D83" s="131" t="s">
        <v>57</v>
      </c>
      <c r="E83" s="97" t="str">
        <f t="shared" ca="1" si="10"/>
        <v>-</v>
      </c>
      <c r="F83" s="97" t="str">
        <f t="shared" ca="1" si="11"/>
        <v>RBC Capital Mkts</v>
      </c>
      <c r="G83" s="51" t="s">
        <v>224</v>
      </c>
      <c r="H83" s="51" t="s">
        <v>225</v>
      </c>
      <c r="I83" s="51" t="str">
        <f ca="1">IF(INDIRECT("'"&amp;A83&amp;"'!"&amp;$I$1)="","-",INDIRECT("'"&amp;A83&amp;"'!"&amp;$I$1))</f>
        <v>Goldman Sachs Merchant Banking</v>
      </c>
      <c r="J83" s="98" t="str">
        <f t="shared" ca="1" si="15"/>
        <v>Michael Sorna</v>
      </c>
      <c r="K83" s="96" t="s">
        <v>60</v>
      </c>
      <c r="L83" s="46" t="s">
        <v>275</v>
      </c>
      <c r="M83" s="100">
        <v>44438</v>
      </c>
      <c r="N83" s="100">
        <v>44445</v>
      </c>
      <c r="O83" s="100">
        <f ca="1">IF(K83="done",INDIRECT("'"&amp;A83&amp;"'!"&amp;$O$1),"")</f>
        <v>44377</v>
      </c>
      <c r="P83" s="106" t="s">
        <v>699</v>
      </c>
    </row>
    <row r="84" spans="1:16" hidden="1" x14ac:dyDescent="0.25">
      <c r="A84" s="45" t="s">
        <v>346</v>
      </c>
      <c r="B84" s="51" t="s">
        <v>346</v>
      </c>
      <c r="C84" s="51" t="str">
        <f t="shared" ca="1" si="14"/>
        <v>Servpro</v>
      </c>
      <c r="D84" s="96"/>
      <c r="E84" s="97">
        <f t="shared" ca="1" si="10"/>
        <v>3</v>
      </c>
      <c r="F84" s="97" t="str">
        <f t="shared" ca="1" si="11"/>
        <v>Jefferies</v>
      </c>
      <c r="G84" s="51" t="s">
        <v>101</v>
      </c>
      <c r="H84" s="51" t="s">
        <v>94</v>
      </c>
      <c r="I84" s="51" t="str">
        <f ca="1">IF(INDIRECT("'"&amp;A84&amp;"'!"&amp;$I$1)="","-",INDIRECT("'"&amp;A84&amp;"'!"&amp;$I$1))</f>
        <v>Blackstone</v>
      </c>
      <c r="J84" s="98" t="str">
        <f t="shared" ca="1" si="15"/>
        <v>Michael Sorna</v>
      </c>
      <c r="K84" s="96" t="s">
        <v>274</v>
      </c>
      <c r="L84" s="46" t="s">
        <v>275</v>
      </c>
      <c r="M84" s="100">
        <v>43726</v>
      </c>
      <c r="N84" s="100">
        <v>43728</v>
      </c>
      <c r="O84" s="100" t="str">
        <f ca="1">IF(K84="done",INDIRECT("'"&amp;A84&amp;"'!"&amp;$O$1),"")</f>
        <v/>
      </c>
      <c r="P84" s="106" t="s">
        <v>425</v>
      </c>
    </row>
    <row r="85" spans="1:16" x14ac:dyDescent="0.25">
      <c r="A85" s="45" t="s">
        <v>477</v>
      </c>
      <c r="B85" s="51" t="s">
        <v>477</v>
      </c>
      <c r="C85" s="51" t="str">
        <f t="shared" ca="1" si="14"/>
        <v>Reynolds Consumer Products</v>
      </c>
      <c r="D85" s="131" t="s">
        <v>517</v>
      </c>
      <c r="E85" s="97">
        <f t="shared" ca="1" si="10"/>
        <v>2</v>
      </c>
      <c r="F85" s="97" t="str">
        <f t="shared" ca="1" si="11"/>
        <v>CS</v>
      </c>
      <c r="G85" s="51" t="s">
        <v>220</v>
      </c>
      <c r="H85" s="51" t="s">
        <v>169</v>
      </c>
      <c r="I85" s="51" t="str">
        <f ca="1">IF(INDIRECT("'"&amp;A85&amp;"'!"&amp;$I$1)="","-",INDIRECT("'"&amp;A85&amp;"'!"&amp;$I$1))</f>
        <v>Publicly Traded: (REYN: NASDAQ)</v>
      </c>
      <c r="J85" s="98" t="str">
        <f t="shared" ca="1" si="15"/>
        <v>Langston Johnson</v>
      </c>
      <c r="K85" s="96" t="s">
        <v>60</v>
      </c>
      <c r="L85" s="46" t="s">
        <v>275</v>
      </c>
      <c r="M85" s="100">
        <v>44321</v>
      </c>
      <c r="N85" s="100">
        <v>44330</v>
      </c>
      <c r="O85" s="100">
        <f ca="1">IF(K85="done",INDIRECT("'"&amp;A85&amp;"'!"&amp;$O$1),"")</f>
        <v>44286</v>
      </c>
      <c r="P85" s="106" t="s">
        <v>626</v>
      </c>
    </row>
    <row r="86" spans="1:16" x14ac:dyDescent="0.25">
      <c r="A86" s="45" t="s">
        <v>541</v>
      </c>
      <c r="B86" s="51" t="s">
        <v>541</v>
      </c>
      <c r="C86" s="51" t="str">
        <f t="shared" ca="1" si="14"/>
        <v>Service Logic</v>
      </c>
      <c r="E86" s="97">
        <f t="shared" ca="1" si="10"/>
        <v>3</v>
      </c>
      <c r="F86" s="97" t="str">
        <f t="shared" ca="1" si="11"/>
        <v>JPM</v>
      </c>
      <c r="G86" s="51" t="s">
        <v>277</v>
      </c>
      <c r="H86" s="51" t="s">
        <v>76</v>
      </c>
      <c r="I86" s="51" t="str">
        <f ca="1">IF(INDIRECT("'"&amp;A86&amp;"'!"&amp;$I$1)="","-",INDIRECT("'"&amp;A86&amp;"'!"&amp;$I$1))</f>
        <v>Leonard Green &amp; Partners</v>
      </c>
      <c r="J86" s="98" t="str">
        <f t="shared" ca="1" si="15"/>
        <v>Michael Sorna</v>
      </c>
      <c r="K86" s="96" t="s">
        <v>60</v>
      </c>
      <c r="L86" s="46" t="s">
        <v>275</v>
      </c>
      <c r="M86" s="100">
        <v>44277</v>
      </c>
      <c r="N86" s="100">
        <v>44313</v>
      </c>
      <c r="O86" s="100">
        <f ca="1">IF(K86="done",INDIRECT("'"&amp;A86&amp;"'!"&amp;$O$1),"")</f>
        <v>44196</v>
      </c>
      <c r="P86" s="106" t="s">
        <v>526</v>
      </c>
    </row>
    <row r="87" spans="1:16" x14ac:dyDescent="0.25">
      <c r="A87" s="45" t="s">
        <v>447</v>
      </c>
      <c r="B87" s="51" t="s">
        <v>447</v>
      </c>
      <c r="C87" s="51" t="str">
        <f t="shared" ca="1" si="14"/>
        <v>ServiceMaster</v>
      </c>
      <c r="D87" s="131" t="s">
        <v>654</v>
      </c>
      <c r="E87" s="97">
        <f t="shared" ca="1" si="10"/>
        <v>2</v>
      </c>
      <c r="F87" s="97" t="str">
        <f t="shared" ca="1" si="11"/>
        <v>JPM</v>
      </c>
      <c r="G87" s="51" t="s">
        <v>75</v>
      </c>
      <c r="H87" s="51" t="s">
        <v>76</v>
      </c>
      <c r="I87" s="51" t="str">
        <f ca="1">IF(INDIRECT("'"&amp;A87&amp;"'!"&amp;$I$1)="","-",INDIRECT("'"&amp;A87&amp;"'!"&amp;$I$1))</f>
        <v>Public: SERV</v>
      </c>
      <c r="J87" s="98" t="str">
        <f t="shared" ca="1" si="15"/>
        <v>Langston Johnson</v>
      </c>
      <c r="K87" s="96" t="s">
        <v>60</v>
      </c>
      <c r="L87" s="46" t="s">
        <v>275</v>
      </c>
      <c r="M87" s="100">
        <v>44323</v>
      </c>
      <c r="N87" s="100">
        <v>44373</v>
      </c>
      <c r="O87" s="100">
        <f ca="1">IF(K87="done",INDIRECT("'"&amp;A87&amp;"'!"&amp;$O$1),"")</f>
        <v>44286</v>
      </c>
      <c r="P87" s="106" t="s">
        <v>655</v>
      </c>
    </row>
    <row r="88" spans="1:16" x14ac:dyDescent="0.25">
      <c r="A88" s="45" t="s">
        <v>430</v>
      </c>
      <c r="B88" s="51" t="s">
        <v>434</v>
      </c>
      <c r="C88" s="51" t="str">
        <f t="shared" ca="1" si="14"/>
        <v>Shearer's Foods</v>
      </c>
      <c r="E88" s="97">
        <f t="shared" ca="1" si="10"/>
        <v>3</v>
      </c>
      <c r="F88" s="97" t="str">
        <f t="shared" ca="1" si="11"/>
        <v>CS</v>
      </c>
      <c r="G88" s="51" t="s">
        <v>98</v>
      </c>
      <c r="H88" s="51" t="s">
        <v>65</v>
      </c>
      <c r="I88" s="51" t="str">
        <f ca="1">IF(INDIRECT("'"&amp;B88&amp;"'!"&amp;$I$1)="","-",INDIRECT("'"&amp;B88&amp;"'!"&amp;$I$1))</f>
        <v>OTPP + Wind Point</v>
      </c>
      <c r="J88" s="98" t="str">
        <f t="shared" ca="1" si="15"/>
        <v>Michael Sorna</v>
      </c>
      <c r="K88" s="96" t="s">
        <v>60</v>
      </c>
      <c r="L88" s="46" t="s">
        <v>275</v>
      </c>
      <c r="M88" s="100">
        <v>44419</v>
      </c>
      <c r="N88" s="100">
        <v>44445</v>
      </c>
      <c r="O88" s="100">
        <f ca="1">IF(K88="done",INDIRECT("'"&amp;B88&amp;"'!"&amp;$O$1),"")</f>
        <v>44377</v>
      </c>
      <c r="P88" s="106" t="s">
        <v>672</v>
      </c>
    </row>
    <row r="89" spans="1:16" hidden="1" x14ac:dyDescent="0.25">
      <c r="A89" s="45" t="s">
        <v>602</v>
      </c>
      <c r="B89" s="51" t="s">
        <v>602</v>
      </c>
      <c r="C89" s="51" t="str">
        <f t="shared" ca="1" si="14"/>
        <v>Spectrum Brands</v>
      </c>
      <c r="E89" s="97" t="str">
        <f t="shared" ca="1" si="10"/>
        <v>NA</v>
      </c>
      <c r="F89" s="97" t="str">
        <f t="shared" ca="1" si="11"/>
        <v>NA</v>
      </c>
      <c r="G89" s="51" t="s">
        <v>603</v>
      </c>
      <c r="H89" s="51" t="s">
        <v>604</v>
      </c>
      <c r="I89" s="51" t="str">
        <f ca="1">IF(INDIRECT("'"&amp;B89&amp;"'!"&amp;$I$1)="","-",INDIRECT("'"&amp;B89&amp;"'!"&amp;$I$1))</f>
        <v>Public: SPB</v>
      </c>
      <c r="J89" s="98" t="str">
        <f t="shared" ca="1" si="15"/>
        <v>Michael Sorna</v>
      </c>
      <c r="K89" s="96" t="s">
        <v>274</v>
      </c>
      <c r="L89" s="46" t="s">
        <v>275</v>
      </c>
      <c r="M89" s="100">
        <v>44277</v>
      </c>
      <c r="N89" s="100">
        <v>44277</v>
      </c>
      <c r="O89" s="100" t="str">
        <f ca="1">IF(K89="done",INDIRECT("'"&amp;B89&amp;"'!"&amp;$O$1),"")</f>
        <v/>
      </c>
      <c r="P89" s="106" t="s">
        <v>526</v>
      </c>
    </row>
    <row r="90" spans="1:16" x14ac:dyDescent="0.25">
      <c r="A90" s="45" t="s">
        <v>599</v>
      </c>
      <c r="B90" s="51" t="s">
        <v>599</v>
      </c>
      <c r="C90" s="51" t="str">
        <f t="shared" ca="1" si="14"/>
        <v>SiteOne</v>
      </c>
      <c r="E90" s="97">
        <f t="shared" ca="1" si="10"/>
        <v>2</v>
      </c>
      <c r="F90" s="97" t="str">
        <f t="shared" ca="1" si="11"/>
        <v>JPM</v>
      </c>
      <c r="G90" s="51" t="s">
        <v>220</v>
      </c>
      <c r="H90" s="51" t="s">
        <v>72</v>
      </c>
      <c r="I90" s="51" t="str">
        <f ca="1">IF(INDIRECT("'"&amp;B90&amp;"'!"&amp;$I$1)="","-",INDIRECT("'"&amp;B90&amp;"'!"&amp;$I$1))</f>
        <v>Publicly Traded</v>
      </c>
      <c r="J90" s="98" t="str">
        <f t="shared" ca="1" si="15"/>
        <v>Michael Sorna</v>
      </c>
      <c r="K90" s="96" t="s">
        <v>60</v>
      </c>
      <c r="L90" s="46" t="s">
        <v>275</v>
      </c>
      <c r="M90" s="100">
        <v>44277</v>
      </c>
      <c r="N90" s="100">
        <v>44277</v>
      </c>
      <c r="O90" s="100">
        <f ca="1">IF(K90="done",INDIRECT("'"&amp;B90&amp;"'!"&amp;$O$1),"")</f>
        <v>44196</v>
      </c>
      <c r="P90" s="106" t="s">
        <v>526</v>
      </c>
    </row>
    <row r="91" spans="1:16" x14ac:dyDescent="0.25">
      <c r="A91" s="95" t="s">
        <v>90</v>
      </c>
      <c r="B91" s="51" t="s">
        <v>90</v>
      </c>
      <c r="C91" s="51" t="str">
        <f t="shared" ca="1" si="14"/>
        <v>SMG</v>
      </c>
      <c r="D91" s="131" t="s">
        <v>57</v>
      </c>
      <c r="E91" s="97">
        <f t="shared" ca="1" si="10"/>
        <v>3</v>
      </c>
      <c r="F91" s="97" t="str">
        <f t="shared" ca="1" si="11"/>
        <v>Jefferies</v>
      </c>
      <c r="G91" s="51" t="s">
        <v>58</v>
      </c>
      <c r="H91" s="51" t="s">
        <v>59</v>
      </c>
      <c r="I91" s="51" t="str">
        <f ca="1">IF(INDIRECT("'"&amp;A91&amp;"'!"&amp;$I$1)="","-",INDIRECT("'"&amp;A91&amp;"'!"&amp;$I$1))</f>
        <v>Onex Partners</v>
      </c>
      <c r="J91" s="98" t="str">
        <f t="shared" ca="1" si="15"/>
        <v>Michael Sorna</v>
      </c>
      <c r="K91" s="96" t="s">
        <v>60</v>
      </c>
      <c r="L91" s="46" t="s">
        <v>275</v>
      </c>
      <c r="M91" s="100">
        <v>44426</v>
      </c>
      <c r="N91" s="100">
        <v>44445</v>
      </c>
      <c r="O91" s="100">
        <f ca="1">IF(K91="done",INDIRECT("'"&amp;A91&amp;"'!"&amp;$O$1),"")</f>
        <v>44377</v>
      </c>
      <c r="P91" s="106" t="s">
        <v>701</v>
      </c>
    </row>
    <row r="92" spans="1:16" hidden="1" x14ac:dyDescent="0.25">
      <c r="A92" s="45" t="s">
        <v>329</v>
      </c>
      <c r="B92" s="51" t="s">
        <v>329</v>
      </c>
      <c r="C92" s="51" t="str">
        <f t="shared" ca="1" si="14"/>
        <v>Tivity Health</v>
      </c>
      <c r="D92" s="96" t="s">
        <v>330</v>
      </c>
      <c r="E92" s="97">
        <f t="shared" ca="1" si="10"/>
        <v>4</v>
      </c>
      <c r="F92" s="97" t="str">
        <f t="shared" ca="1" si="11"/>
        <v>Credit Suisse</v>
      </c>
      <c r="G92" s="51" t="s">
        <v>331</v>
      </c>
      <c r="H92" s="51" t="s">
        <v>94</v>
      </c>
      <c r="I92" s="51" t="str">
        <f ca="1">IF(INDIRECT("'"&amp;A92&amp;"'!"&amp;$I$1)="","-",INDIRECT("'"&amp;A92&amp;"'!"&amp;$I$1))</f>
        <v>Publicly Traded: TVTY</v>
      </c>
      <c r="J92" s="98" t="str">
        <f t="shared" ca="1" si="15"/>
        <v>Michael Sorna</v>
      </c>
      <c r="K92" s="96" t="s">
        <v>274</v>
      </c>
      <c r="L92" s="46" t="s">
        <v>275</v>
      </c>
      <c r="M92" s="100">
        <v>43959</v>
      </c>
      <c r="N92" s="100">
        <v>43992</v>
      </c>
      <c r="O92" s="100" t="str">
        <f ca="1">IF(K92="done",INDIRECT("'"&amp;A92&amp;"'!"&amp;$O$1),"")</f>
        <v/>
      </c>
      <c r="P92" s="106" t="s">
        <v>506</v>
      </c>
    </row>
    <row r="93" spans="1:16" x14ac:dyDescent="0.25">
      <c r="A93" s="45" t="s">
        <v>662</v>
      </c>
      <c r="B93" s="51" t="s">
        <v>662</v>
      </c>
      <c r="C93" s="51" t="str">
        <f t="shared" ca="1" si="14"/>
        <v>Sovos Brands</v>
      </c>
      <c r="D93" s="51"/>
      <c r="E93" s="97">
        <f t="shared" ca="1" si="10"/>
        <v>3</v>
      </c>
      <c r="F93" s="97" t="str">
        <f t="shared" ca="1" si="11"/>
        <v>CS</v>
      </c>
      <c r="G93" s="51" t="s">
        <v>98</v>
      </c>
      <c r="H93" s="51" t="s">
        <v>65</v>
      </c>
      <c r="I93" s="51" t="str">
        <f ca="1">IF(INDIRECT("'"&amp;B93&amp;"'!"&amp;$I$1)="","-",INDIRECT("'"&amp;B93&amp;"'!"&amp;$I$1))</f>
        <v>Advent International</v>
      </c>
      <c r="J93" s="98" t="str">
        <f t="shared" ca="1" si="15"/>
        <v>Michael Sorna</v>
      </c>
      <c r="K93" s="96" t="s">
        <v>60</v>
      </c>
      <c r="L93" s="46" t="s">
        <v>275</v>
      </c>
      <c r="M93" s="100">
        <v>44384</v>
      </c>
      <c r="N93" s="100">
        <v>44384</v>
      </c>
      <c r="O93" s="100">
        <f ca="1">IF(K93="done",INDIRECT("'"&amp;B93&amp;"'!"&amp;$O$1),"")</f>
        <v>44286</v>
      </c>
      <c r="P93" s="106" t="s">
        <v>526</v>
      </c>
    </row>
    <row r="94" spans="1:16" hidden="1" x14ac:dyDescent="0.25">
      <c r="A94" s="45" t="s">
        <v>268</v>
      </c>
      <c r="B94" s="51" t="s">
        <v>268</v>
      </c>
      <c r="C94" s="51" t="str">
        <f t="shared" ca="1" si="14"/>
        <v>TopGolf International</v>
      </c>
      <c r="D94" s="96" t="s">
        <v>61</v>
      </c>
      <c r="E94" s="97">
        <f t="shared" ca="1" si="10"/>
        <v>3</v>
      </c>
      <c r="F94" s="97" t="str">
        <f t="shared" ca="1" si="11"/>
        <v>JP Morgan Chase</v>
      </c>
      <c r="G94" s="51" t="s">
        <v>262</v>
      </c>
      <c r="H94" s="51" t="s">
        <v>59</v>
      </c>
      <c r="I94" s="51" t="str">
        <f ca="1">IF(INDIRECT("'"&amp;A94&amp;"'!"&amp;$I$1)="","-",INDIRECT("'"&amp;A94&amp;"'!"&amp;$I$1))</f>
        <v>WestRiver Group, Providence Equity, Dundon Capital, Callaway Golf, GP Brinson, Fidelity Research and Other</v>
      </c>
      <c r="J94" s="98" t="str">
        <f t="shared" ca="1" si="15"/>
        <v>Michael Sorna</v>
      </c>
      <c r="K94" s="96" t="s">
        <v>274</v>
      </c>
      <c r="L94" s="46" t="s">
        <v>275</v>
      </c>
      <c r="M94" s="100">
        <v>43984</v>
      </c>
      <c r="N94" s="100">
        <v>44007</v>
      </c>
      <c r="O94" s="100" t="str">
        <f ca="1">IF(K94="done",INDIRECT("'"&amp;A94&amp;"'!"&amp;$O$1),"")</f>
        <v/>
      </c>
      <c r="P94" s="106" t="s">
        <v>508</v>
      </c>
    </row>
    <row r="95" spans="1:16" x14ac:dyDescent="0.25">
      <c r="A95" s="45" t="s">
        <v>480</v>
      </c>
      <c r="B95" s="51" t="s">
        <v>480</v>
      </c>
      <c r="C95" s="51" t="str">
        <f t="shared" ca="1" si="14"/>
        <v>Stubhub</v>
      </c>
      <c r="D95" s="131" t="s">
        <v>61</v>
      </c>
      <c r="E95" s="97">
        <f t="shared" ref="E95:E110" ca="1" si="16">IF(INDIRECT("'"&amp;B95&amp;"'!"&amp;$E$1)="","-",INDIRECT("'"&amp;B95&amp;"'!"&amp;$E$1))</f>
        <v>3</v>
      </c>
      <c r="F95" s="97" t="str">
        <f t="shared" ref="F95:F110" ca="1" si="17">IF(INDIRECT("'"&amp;B95&amp;"'!"&amp;$F$1)="","-",INDIRECT("'"&amp;B95&amp;"'!"&amp;$F$1))</f>
        <v>JPM</v>
      </c>
      <c r="G95" s="51" t="s">
        <v>481</v>
      </c>
      <c r="H95" s="51" t="s">
        <v>94</v>
      </c>
      <c r="I95" s="51" t="str">
        <f ca="1">IF(INDIRECT("'"&amp;A95&amp;"'!"&amp;$I$1)="","-",INDIRECT("'"&amp;A95&amp;"'!"&amp;$I$1))</f>
        <v>Madrone Capital Partners, Bessemer Venture Partners, and Eric Baker, CEO and founder</v>
      </c>
      <c r="J95" s="98" t="str">
        <f t="shared" ca="1" si="15"/>
        <v>Michael Sorna</v>
      </c>
      <c r="K95" s="96" t="s">
        <v>60</v>
      </c>
      <c r="L95" s="46" t="s">
        <v>275</v>
      </c>
      <c r="M95" s="100">
        <v>44361</v>
      </c>
      <c r="N95" s="100">
        <v>44373</v>
      </c>
      <c r="O95" s="100">
        <f ca="1">IF(K95="done",INDIRECT("'"&amp;A95&amp;"'!"&amp;$O$1),"")</f>
        <v>44286</v>
      </c>
      <c r="P95" s="106" t="s">
        <v>549</v>
      </c>
    </row>
    <row r="96" spans="1:16" x14ac:dyDescent="0.25">
      <c r="A96" s="45" t="s">
        <v>564</v>
      </c>
      <c r="B96" s="51" t="s">
        <v>564</v>
      </c>
      <c r="C96" s="51" t="str">
        <f t="shared" ca="1" si="14"/>
        <v xml:space="preserve">Therma Holdings </v>
      </c>
      <c r="D96" s="131" t="s">
        <v>657</v>
      </c>
      <c r="E96" s="97">
        <f t="shared" ca="1" si="16"/>
        <v>3</v>
      </c>
      <c r="F96" s="97" t="str">
        <f t="shared" ca="1" si="17"/>
        <v>JEFF</v>
      </c>
      <c r="G96" s="51" t="s">
        <v>277</v>
      </c>
      <c r="H96" s="51" t="s">
        <v>76</v>
      </c>
      <c r="I96" s="51" t="str">
        <f ca="1">IF(INDIRECT("'"&amp;B96&amp;"'!"&amp;$I$1)="","-",INDIRECT("'"&amp;B96&amp;"'!"&amp;$I$1))</f>
        <v xml:space="preserve">Blackstone </v>
      </c>
      <c r="J96" s="98" t="str">
        <f t="shared" ca="1" si="15"/>
        <v>Michael Sorna</v>
      </c>
      <c r="K96" s="96" t="s">
        <v>60</v>
      </c>
      <c r="L96" s="46" t="s">
        <v>275</v>
      </c>
      <c r="M96" s="100">
        <v>44217</v>
      </c>
      <c r="N96" s="100">
        <v>44217</v>
      </c>
      <c r="O96" s="100">
        <f ca="1">IF(K96="done",INDIRECT("'"&amp;B96&amp;"'!"&amp;$O$1),"")</f>
        <v>44196</v>
      </c>
      <c r="P96" s="106" t="s">
        <v>526</v>
      </c>
    </row>
    <row r="97" spans="1:36" x14ac:dyDescent="0.25">
      <c r="A97" s="95" t="s">
        <v>91</v>
      </c>
      <c r="B97" s="51" t="s">
        <v>91</v>
      </c>
      <c r="C97" s="51" t="str">
        <f t="shared" ca="1" si="14"/>
        <v>TKC Holdings</v>
      </c>
      <c r="D97" s="131" t="s">
        <v>57</v>
      </c>
      <c r="E97" s="97">
        <f t="shared" ca="1" si="16"/>
        <v>3</v>
      </c>
      <c r="F97" s="97" t="str">
        <f t="shared" ca="1" si="17"/>
        <v>Jefferies</v>
      </c>
      <c r="G97" s="51" t="s">
        <v>64</v>
      </c>
      <c r="H97" s="51" t="s">
        <v>65</v>
      </c>
      <c r="I97" s="51" t="str">
        <f ca="1">IF(INDIRECT("'"&amp;A97&amp;"'!"&amp;$I$1)="","-",INDIRECT("'"&amp;A97&amp;"'!"&amp;$I$1))</f>
        <v>HIG</v>
      </c>
      <c r="J97" s="98" t="str">
        <f t="shared" ca="1" si="15"/>
        <v>Michael Sorna</v>
      </c>
      <c r="K97" s="96" t="s">
        <v>60</v>
      </c>
      <c r="L97" s="46" t="s">
        <v>275</v>
      </c>
      <c r="M97" s="100">
        <v>44426</v>
      </c>
      <c r="N97" s="100">
        <v>44445</v>
      </c>
      <c r="O97" s="100">
        <f ca="1">IF(K97="done",INDIRECT("'"&amp;A97&amp;"'!"&amp;$O$1),"")</f>
        <v>44377</v>
      </c>
      <c r="P97" s="106" t="s">
        <v>702</v>
      </c>
    </row>
    <row r="98" spans="1:36" x14ac:dyDescent="0.25">
      <c r="A98" s="95" t="s">
        <v>212</v>
      </c>
      <c r="B98" s="102" t="s">
        <v>212</v>
      </c>
      <c r="C98" s="102" t="str">
        <f ca="1">INDIRECT("'"&amp;A98&amp;"'!"&amp;$C$1)</f>
        <v>TriMark</v>
      </c>
      <c r="D98" s="131" t="s">
        <v>57</v>
      </c>
      <c r="E98" s="97">
        <f t="shared" ca="1" si="16"/>
        <v>3</v>
      </c>
      <c r="F98" s="97" t="str">
        <f t="shared" ca="1" si="17"/>
        <v>Barclays Bank</v>
      </c>
      <c r="G98" s="51" t="s">
        <v>75</v>
      </c>
      <c r="H98" s="51" t="s">
        <v>213</v>
      </c>
      <c r="I98" s="51" t="str">
        <f ca="1">IF(INDIRECT("'"&amp;A98&amp;"'!"&amp;$I$1)="","-",INDIRECT("'"&amp;A98&amp;"'!"&amp;$I$1))</f>
        <v>Centerbridge</v>
      </c>
      <c r="J98" s="98" t="str">
        <f ca="1">INDIRECT("'"&amp;A98&amp;"'!"&amp;$J$1)</f>
        <v>Michael Sorna</v>
      </c>
      <c r="K98" s="96" t="s">
        <v>60</v>
      </c>
      <c r="L98" s="46" t="s">
        <v>275</v>
      </c>
      <c r="M98" s="100">
        <v>44442</v>
      </c>
      <c r="N98" s="100">
        <v>44445</v>
      </c>
      <c r="O98" s="100">
        <f ca="1">IF(K98="Done",INDIRECT("'"&amp;A98&amp;"'!"&amp;$O$1),"")</f>
        <v>44377</v>
      </c>
      <c r="P98" s="106" t="s">
        <v>695</v>
      </c>
    </row>
    <row r="99" spans="1:36" x14ac:dyDescent="0.25">
      <c r="A99" s="45" t="s">
        <v>598</v>
      </c>
      <c r="B99" s="51" t="s">
        <v>598</v>
      </c>
      <c r="C99" s="51" t="str">
        <f ca="1">INDIRECT("'"&amp;B99&amp;"'!"&amp;$C$1)</f>
        <v>Triton Water</v>
      </c>
      <c r="E99" s="97">
        <f t="shared" ca="1" si="16"/>
        <v>3</v>
      </c>
      <c r="F99" s="97" t="str">
        <f t="shared" ca="1" si="17"/>
        <v>MS</v>
      </c>
      <c r="G99" s="51" t="s">
        <v>74</v>
      </c>
      <c r="H99" s="51" t="s">
        <v>65</v>
      </c>
      <c r="I99" s="51" t="str">
        <f ca="1">IF(INDIRECT("'"&amp;A99&amp;"'!"&amp;$I$1)="","-",INDIRECT("'"&amp;A99&amp;"'!"&amp;$I$1))</f>
        <v>One Rock and Dean Metropolous</v>
      </c>
      <c r="J99" s="98" t="str">
        <f ca="1">IF(INDIRECT("'"&amp;B99&amp;"'!"&amp;$J$1)="","-",INDIRECT("'"&amp;B99&amp;"'!"&amp;$J$1))</f>
        <v>Michael Sorna</v>
      </c>
      <c r="K99" s="96" t="s">
        <v>60</v>
      </c>
      <c r="L99" s="46" t="s">
        <v>275</v>
      </c>
      <c r="M99" s="100">
        <v>44277</v>
      </c>
      <c r="N99" s="100">
        <v>44277</v>
      </c>
      <c r="O99" s="100">
        <f ca="1">IF(K99="done",INDIRECT("'"&amp;A99&amp;"'!"&amp;$O$1),"")</f>
        <v>44196</v>
      </c>
      <c r="P99" s="106" t="s">
        <v>526</v>
      </c>
    </row>
    <row r="100" spans="1:36" x14ac:dyDescent="0.25">
      <c r="A100" s="95" t="s">
        <v>207</v>
      </c>
      <c r="B100" s="102" t="s">
        <v>207</v>
      </c>
      <c r="C100" s="102" t="str">
        <f ca="1">INDIRECT("'"&amp;A100&amp;"'!"&amp;$C$1)</f>
        <v>TruGreen</v>
      </c>
      <c r="D100" s="131" t="s">
        <v>57</v>
      </c>
      <c r="E100" s="97">
        <f t="shared" ca="1" si="16"/>
        <v>3</v>
      </c>
      <c r="F100" s="97" t="str">
        <f t="shared" ca="1" si="17"/>
        <v>JP Morgan Chase</v>
      </c>
      <c r="G100" s="51" t="s">
        <v>89</v>
      </c>
      <c r="H100" s="51" t="s">
        <v>94</v>
      </c>
      <c r="I100" s="51" t="str">
        <f ca="1">IF(INDIRECT("'"&amp;A100&amp;"'!"&amp;$I$1)="","-",INDIRECT("'"&amp;A100&amp;"'!"&amp;$I$1))</f>
        <v>CD&amp;R and SMG</v>
      </c>
      <c r="J100" s="98" t="str">
        <f ca="1">INDIRECT("'"&amp;A100&amp;"'!"&amp;$J$1)</f>
        <v>Michael Sorna</v>
      </c>
      <c r="K100" s="96" t="s">
        <v>60</v>
      </c>
      <c r="L100" s="46" t="s">
        <v>275</v>
      </c>
      <c r="M100" s="100">
        <v>44413</v>
      </c>
      <c r="N100" s="100">
        <v>44445</v>
      </c>
      <c r="O100" s="100">
        <f ca="1">IF(K100="Done",INDIRECT("'"&amp;A100&amp;"'!"&amp;$O$1),"")</f>
        <v>44377</v>
      </c>
      <c r="P100" s="106" t="s">
        <v>703</v>
      </c>
    </row>
    <row r="101" spans="1:36" hidden="1" x14ac:dyDescent="0.25">
      <c r="A101" s="95" t="s">
        <v>219</v>
      </c>
      <c r="B101" s="102" t="s">
        <v>219</v>
      </c>
      <c r="C101" s="102" t="str">
        <f ca="1">INDIRECT("'"&amp;A101&amp;"'!"&amp;$C$1)</f>
        <v>VC GB Holdings</v>
      </c>
      <c r="D101" s="96" t="s">
        <v>66</v>
      </c>
      <c r="E101" s="97">
        <f t="shared" ca="1" si="16"/>
        <v>3</v>
      </c>
      <c r="F101" s="97" t="e">
        <f t="shared" ca="1" si="17"/>
        <v>#N/A</v>
      </c>
      <c r="G101" s="51" t="s">
        <v>220</v>
      </c>
      <c r="H101" s="51" t="s">
        <v>72</v>
      </c>
      <c r="J101" s="98" t="str">
        <f ca="1">INDIRECT("'"&amp;A101&amp;"'!"&amp;$J$1)</f>
        <v>Michael Sorna</v>
      </c>
      <c r="K101" s="96" t="s">
        <v>274</v>
      </c>
      <c r="L101" s="58"/>
      <c r="M101" s="100"/>
      <c r="N101" s="100"/>
      <c r="O101" s="100" t="str">
        <f ca="1">IF(K101="Done",INDIRECT("'"&amp;A101&amp;"'!"&amp;$O$1),"")</f>
        <v/>
      </c>
      <c r="P101" s="101" t="s">
        <v>243</v>
      </c>
    </row>
    <row r="102" spans="1:36" x14ac:dyDescent="0.25">
      <c r="A102" s="114" t="s">
        <v>436</v>
      </c>
      <c r="B102" s="102" t="s">
        <v>436</v>
      </c>
      <c r="C102" s="102" t="str">
        <f ca="1">INDIRECT("'"&amp;A102&amp;"'!"&amp;$C$1)</f>
        <v>UFC Holdings</v>
      </c>
      <c r="D102" s="131" t="s">
        <v>66</v>
      </c>
      <c r="E102" s="97">
        <f t="shared" ca="1" si="16"/>
        <v>3</v>
      </c>
      <c r="F102" s="97" t="str">
        <f t="shared" ca="1" si="17"/>
        <v>Goldman Sachs</v>
      </c>
      <c r="G102" s="51" t="s">
        <v>58</v>
      </c>
      <c r="H102" s="51" t="s">
        <v>59</v>
      </c>
      <c r="I102" s="51" t="str">
        <f ca="1">IF(INDIRECT("'"&amp;A102&amp;"'!"&amp;$I$1)="","-",INDIRECT("'"&amp;A102&amp;"'!"&amp;$I$1))</f>
        <v>WME IMG, Silver Lake and KKR</v>
      </c>
      <c r="J102" s="98" t="str">
        <f ca="1">INDIRECT("'"&amp;A102&amp;"'!"&amp;$J$1)</f>
        <v>Michael Sorna</v>
      </c>
      <c r="K102" s="96" t="s">
        <v>60</v>
      </c>
      <c r="L102" s="46" t="s">
        <v>275</v>
      </c>
      <c r="M102" s="100">
        <v>44425</v>
      </c>
      <c r="N102" s="100">
        <v>44445</v>
      </c>
      <c r="O102" s="100">
        <f ca="1">IF(K102="Done",INDIRECT("'"&amp;A102&amp;"'!"&amp;$O$1),"")</f>
        <v>44377</v>
      </c>
      <c r="P102" s="106" t="s">
        <v>699</v>
      </c>
    </row>
    <row r="103" spans="1:36" x14ac:dyDescent="0.25">
      <c r="A103" s="45" t="s">
        <v>565</v>
      </c>
      <c r="B103" s="51" t="s">
        <v>565</v>
      </c>
      <c r="C103" s="51" t="str">
        <f ca="1">INDIRECT("'"&amp;B103&amp;"'!"&amp;$C$1)</f>
        <v>Utz Brands</v>
      </c>
      <c r="E103" s="97">
        <f t="shared" ca="1" si="16"/>
        <v>3</v>
      </c>
      <c r="F103" s="97" t="str">
        <f t="shared" ca="1" si="17"/>
        <v>BofA</v>
      </c>
      <c r="G103" s="51" t="s">
        <v>98</v>
      </c>
      <c r="H103" s="51" t="s">
        <v>65</v>
      </c>
      <c r="I103" s="51" t="str">
        <f ca="1">IF(INDIRECT("'"&amp;B103&amp;"'!"&amp;$I$1)="","-",INDIRECT("'"&amp;B103&amp;"'!"&amp;$I$1))</f>
        <v>Public Company: UTZ</v>
      </c>
      <c r="J103" s="98" t="str">
        <f t="shared" ref="J103:J110" ca="1" si="18">IF(INDIRECT("'"&amp;B103&amp;"'!"&amp;$J$1)="","-",INDIRECT("'"&amp;B103&amp;"'!"&amp;$J$1))</f>
        <v>Michael Sorna</v>
      </c>
      <c r="K103" s="96" t="s">
        <v>60</v>
      </c>
      <c r="L103" s="46" t="s">
        <v>275</v>
      </c>
      <c r="M103" s="100">
        <v>44329</v>
      </c>
      <c r="N103" s="100">
        <v>44344</v>
      </c>
      <c r="O103" s="100">
        <f ca="1">IF(K103="done",INDIRECT("'"&amp;B103&amp;"'!"&amp;$O$1),"")</f>
        <v>44286</v>
      </c>
      <c r="P103" s="106" t="s">
        <v>526</v>
      </c>
    </row>
    <row r="104" spans="1:36" hidden="1" x14ac:dyDescent="0.25">
      <c r="A104" s="112" t="s">
        <v>92</v>
      </c>
      <c r="B104" s="51" t="s">
        <v>92</v>
      </c>
      <c r="C104" s="51" t="str">
        <f ca="1">INDIRECT("'"&amp;B104&amp;"'!"&amp;$C$1)</f>
        <v>Weight Watchers</v>
      </c>
      <c r="D104" s="109" t="s">
        <v>93</v>
      </c>
      <c r="E104" s="97">
        <f t="shared" ca="1" si="16"/>
        <v>3</v>
      </c>
      <c r="F104" s="97" t="e">
        <f t="shared" ca="1" si="17"/>
        <v>#N/A</v>
      </c>
      <c r="G104" s="51" t="s">
        <v>64</v>
      </c>
      <c r="H104" s="51" t="s">
        <v>94</v>
      </c>
      <c r="I104" s="51" t="str">
        <f t="shared" ref="I104:I109" ca="1" si="19">IF(INDIRECT("'"&amp;A104&amp;"'!"&amp;$I$1)="","-",INDIRECT("'"&amp;A104&amp;"'!"&amp;$I$1))</f>
        <v>Public  (WTW)</v>
      </c>
      <c r="J104" s="98" t="str">
        <f t="shared" ca="1" si="18"/>
        <v>Michael Sorna</v>
      </c>
      <c r="K104" s="96" t="s">
        <v>274</v>
      </c>
      <c r="L104" s="46" t="s">
        <v>275</v>
      </c>
      <c r="M104" s="100">
        <v>43522</v>
      </c>
      <c r="N104" s="100">
        <v>43531</v>
      </c>
      <c r="O104" s="100" t="str">
        <f t="shared" ref="O104:O109" ca="1" si="20">IF(K104="done",INDIRECT("'"&amp;A104&amp;"'!"&amp;$O$1),"")</f>
        <v/>
      </c>
      <c r="P104" s="110" t="s">
        <v>280</v>
      </c>
    </row>
    <row r="105" spans="1:36" x14ac:dyDescent="0.25">
      <c r="A105" s="95" t="s">
        <v>146</v>
      </c>
      <c r="B105" s="102" t="s">
        <v>146</v>
      </c>
      <c r="C105" s="102" t="str">
        <f ca="1">INDIRECT("'"&amp;$A105&amp;"'!"&amp;$C$1)</f>
        <v>Varsity Brands</v>
      </c>
      <c r="D105" s="131" t="s">
        <v>57</v>
      </c>
      <c r="E105" s="97">
        <f t="shared" ca="1" si="16"/>
        <v>3</v>
      </c>
      <c r="F105" s="97" t="str">
        <f t="shared" ca="1" si="17"/>
        <v>Jefferies Fin</v>
      </c>
      <c r="G105" s="51" t="s">
        <v>101</v>
      </c>
      <c r="H105" s="51" t="s">
        <v>72</v>
      </c>
      <c r="I105" s="51" t="str">
        <f t="shared" ca="1" si="19"/>
        <v>Charlesbank Capital Partners &amp; Partners Group</v>
      </c>
      <c r="J105" s="98" t="str">
        <f t="shared" ca="1" si="18"/>
        <v>Michael Sorna</v>
      </c>
      <c r="K105" s="96" t="s">
        <v>60</v>
      </c>
      <c r="L105" s="46" t="s">
        <v>275</v>
      </c>
      <c r="M105" s="100">
        <v>44432</v>
      </c>
      <c r="N105" s="100">
        <v>44446</v>
      </c>
      <c r="O105" s="100">
        <f t="shared" ca="1" si="20"/>
        <v>44377</v>
      </c>
      <c r="P105" s="106" t="s">
        <v>704</v>
      </c>
    </row>
    <row r="106" spans="1:36" hidden="1" x14ac:dyDescent="0.25">
      <c r="A106" s="114" t="s">
        <v>404</v>
      </c>
      <c r="B106" s="51" t="s">
        <v>404</v>
      </c>
      <c r="C106" s="51" t="str">
        <f ca="1">INDIRECT("'"&amp;B106&amp;"'!"&amp;$C$1)</f>
        <v>World Triathlon</v>
      </c>
      <c r="D106" s="96" t="s">
        <v>499</v>
      </c>
      <c r="E106" s="97">
        <f t="shared" ca="1" si="16"/>
        <v>3</v>
      </c>
      <c r="F106" s="97" t="str">
        <f t="shared" ca="1" si="17"/>
        <v>DB</v>
      </c>
      <c r="G106" s="51" t="s">
        <v>262</v>
      </c>
      <c r="H106" s="51" t="s">
        <v>59</v>
      </c>
      <c r="I106" s="51" t="str">
        <f t="shared" ca="1" si="19"/>
        <v>Wanda Sports Group (NASDAQ: WSG)</v>
      </c>
      <c r="J106" s="98" t="str">
        <f t="shared" ca="1" si="18"/>
        <v>Michael Sorna</v>
      </c>
      <c r="K106" s="96" t="s">
        <v>274</v>
      </c>
      <c r="L106" s="46" t="s">
        <v>275</v>
      </c>
      <c r="M106" s="100">
        <v>44000</v>
      </c>
      <c r="N106" s="100">
        <v>44010</v>
      </c>
      <c r="O106" s="100" t="str">
        <f t="shared" ca="1" si="20"/>
        <v/>
      </c>
      <c r="P106" s="106" t="s">
        <v>513</v>
      </c>
      <c r="Q106" s="114" t="s">
        <v>500</v>
      </c>
    </row>
    <row r="107" spans="1:36" x14ac:dyDescent="0.25">
      <c r="A107" s="95" t="s">
        <v>102</v>
      </c>
      <c r="B107" s="51" t="s">
        <v>102</v>
      </c>
      <c r="C107" s="51" t="str">
        <f ca="1">INDIRECT("'"&amp;B107&amp;"'!"&amp;$C$1)</f>
        <v>Veritext Legal Solutions</v>
      </c>
      <c r="D107" s="131" t="s">
        <v>83</v>
      </c>
      <c r="E107" s="97" t="str">
        <f t="shared" ca="1" si="16"/>
        <v>-</v>
      </c>
      <c r="F107" s="97" t="str">
        <f t="shared" ca="1" si="17"/>
        <v>Jefferies Fin</v>
      </c>
      <c r="G107" s="51" t="s">
        <v>75</v>
      </c>
      <c r="H107" s="51" t="s">
        <v>76</v>
      </c>
      <c r="I107" s="51" t="str">
        <f t="shared" ca="1" si="19"/>
        <v>Leonard Green &amp; Partners LP</v>
      </c>
      <c r="J107" s="98" t="str">
        <f t="shared" ca="1" si="18"/>
        <v>Michael Sorna</v>
      </c>
      <c r="K107" s="96" t="s">
        <v>60</v>
      </c>
      <c r="L107" s="46" t="s">
        <v>275</v>
      </c>
      <c r="M107" s="100">
        <v>44403</v>
      </c>
      <c r="N107" s="100">
        <v>44446</v>
      </c>
      <c r="O107" s="100">
        <f t="shared" ca="1" si="20"/>
        <v>44377</v>
      </c>
      <c r="P107" s="106" t="s">
        <v>705</v>
      </c>
    </row>
    <row r="108" spans="1:36" x14ac:dyDescent="0.25">
      <c r="A108" s="45" t="s">
        <v>685</v>
      </c>
      <c r="B108" s="51" t="s">
        <v>685</v>
      </c>
      <c r="C108" s="51" t="str">
        <f ca="1">INDIRECT("'"&amp;B108&amp;"'!"&amp;$C$1)</f>
        <v>Waterlogic</v>
      </c>
      <c r="E108" s="97">
        <f t="shared" ca="1" si="16"/>
        <v>3</v>
      </c>
      <c r="F108" s="97" t="str">
        <f t="shared" ca="1" si="17"/>
        <v>CITI, GS, HSBC, SMBC, SOC GEN</v>
      </c>
      <c r="G108" s="51" t="s">
        <v>74</v>
      </c>
      <c r="H108" s="51" t="s">
        <v>65</v>
      </c>
      <c r="I108" s="51" t="str">
        <f t="shared" ca="1" si="19"/>
        <v>Castik Capital (54%) and Others</v>
      </c>
      <c r="J108" s="98" t="str">
        <f t="shared" ca="1" si="18"/>
        <v>Michael Sorna</v>
      </c>
      <c r="K108" s="96" t="s">
        <v>60</v>
      </c>
      <c r="L108" s="46" t="s">
        <v>275</v>
      </c>
      <c r="M108" s="100">
        <v>44439</v>
      </c>
      <c r="N108" s="100">
        <v>44439</v>
      </c>
      <c r="O108" s="100">
        <f t="shared" ca="1" si="20"/>
        <v>44377</v>
      </c>
      <c r="P108" s="106" t="s">
        <v>526</v>
      </c>
    </row>
    <row r="109" spans="1:36" hidden="1" x14ac:dyDescent="0.25">
      <c r="A109" s="114" t="s">
        <v>437</v>
      </c>
      <c r="B109" s="51" t="s">
        <v>437</v>
      </c>
      <c r="C109" s="51" t="str">
        <f ca="1">INDIRECT("'"&amp;B109&amp;"'!"&amp;$C$1)</f>
        <v>Yum Brands</v>
      </c>
      <c r="D109" s="131" t="s">
        <v>96</v>
      </c>
      <c r="E109" s="97">
        <f t="shared" ca="1" si="16"/>
        <v>1</v>
      </c>
      <c r="F109" s="97" t="str">
        <f t="shared" ca="1" si="17"/>
        <v>JP Morgan Chase</v>
      </c>
      <c r="G109" s="51" t="s">
        <v>64</v>
      </c>
      <c r="H109" s="51" t="s">
        <v>65</v>
      </c>
      <c r="I109" s="51" t="str">
        <f t="shared" ca="1" si="19"/>
        <v>Public</v>
      </c>
      <c r="J109" s="98" t="str">
        <f t="shared" ca="1" si="18"/>
        <v>Michael Sorna</v>
      </c>
      <c r="K109" s="96" t="s">
        <v>274</v>
      </c>
      <c r="L109" s="46" t="s">
        <v>275</v>
      </c>
      <c r="M109" s="100">
        <v>44321</v>
      </c>
      <c r="N109" s="100">
        <v>44345</v>
      </c>
      <c r="O109" s="100" t="str">
        <f t="shared" ca="1" si="20"/>
        <v/>
      </c>
      <c r="P109" s="106" t="s">
        <v>635</v>
      </c>
    </row>
    <row r="110" spans="1:36" hidden="1" x14ac:dyDescent="0.25">
      <c r="A110" s="45" t="s">
        <v>552</v>
      </c>
      <c r="B110" s="51" t="s">
        <v>553</v>
      </c>
      <c r="C110" s="51" t="str">
        <f ca="1">INDIRECT("'"&amp;B110&amp;"'!"&amp;$C$1)</f>
        <v>Zaxby's</v>
      </c>
      <c r="D110" s="131" t="s">
        <v>66</v>
      </c>
      <c r="E110" s="97">
        <f t="shared" ca="1" si="16"/>
        <v>3</v>
      </c>
      <c r="F110" s="97" t="str">
        <f t="shared" ca="1" si="17"/>
        <v>MS</v>
      </c>
      <c r="G110" s="51" t="s">
        <v>262</v>
      </c>
      <c r="H110" s="51" t="s">
        <v>65</v>
      </c>
      <c r="I110" s="51" t="str">
        <f ca="1">IF(INDIRECT("'"&amp;B110&amp;"'!"&amp;$I$1)="","-",INDIRECT("'"&amp;B110&amp;"'!"&amp;$I$1))</f>
        <v>Goldman Sachs Merchant Banking</v>
      </c>
      <c r="J110" s="98" t="str">
        <f t="shared" ca="1" si="18"/>
        <v>Michael Sorna</v>
      </c>
      <c r="K110" s="96" t="s">
        <v>274</v>
      </c>
      <c r="L110" s="46" t="s">
        <v>275</v>
      </c>
      <c r="M110" s="100">
        <v>44362</v>
      </c>
      <c r="N110" s="100">
        <v>44370</v>
      </c>
      <c r="O110" s="100" t="str">
        <f ca="1">IF(K110="done",INDIRECT("'"&amp;B110&amp;"'!"&amp;$O$1),"")</f>
        <v/>
      </c>
      <c r="P110" s="106" t="s">
        <v>652</v>
      </c>
    </row>
    <row r="111" spans="1:36" hidden="1" x14ac:dyDescent="0.25">
      <c r="A111"/>
      <c r="B111" s="48"/>
      <c r="C111" s="48"/>
      <c r="D111" s="46"/>
      <c r="E111" s="47"/>
      <c r="F111" s="47"/>
      <c r="G111" s="41"/>
      <c r="H111" s="41"/>
      <c r="I111" s="41"/>
      <c r="J111" s="49"/>
      <c r="K111" s="46"/>
      <c r="M111" s="100"/>
      <c r="N111" s="100"/>
      <c r="O111" s="50"/>
      <c r="P111" s="92"/>
      <c r="Q111" s="92"/>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5">
      <c r="A112" s="45"/>
      <c r="B112" s="51" t="s">
        <v>366</v>
      </c>
      <c r="C112" s="51" t="e">
        <f ca="1">INDIRECT("'"&amp;B112&amp;"'!"&amp;$C$1)</f>
        <v>#REF!</v>
      </c>
      <c r="D112" s="96"/>
      <c r="E112" s="97"/>
      <c r="F112" s="127" t="e">
        <f ca="1">IF(INDIRECT("'"&amp;B112&amp;"'!"&amp;$F$1)="","-",INDIRECT("'"&amp;B112&amp;"'!"&amp;$F$1))</f>
        <v>#REF!</v>
      </c>
      <c r="G112" s="51" t="s">
        <v>75</v>
      </c>
      <c r="J112" s="98"/>
      <c r="K112" s="96" t="s">
        <v>274</v>
      </c>
      <c r="L112" s="46"/>
      <c r="M112" s="100"/>
      <c r="N112" s="100"/>
      <c r="O112" s="100"/>
      <c r="P112" s="106"/>
    </row>
    <row r="113" spans="1:16" x14ac:dyDescent="0.25">
      <c r="A113" s="45" t="s">
        <v>544</v>
      </c>
      <c r="B113" s="51" t="s">
        <v>544</v>
      </c>
      <c r="C113" s="51" t="str">
        <f ca="1">INDIRECT("'"&amp;B113&amp;"'!"&amp;$C$1)</f>
        <v>Weber Grills</v>
      </c>
      <c r="E113" s="97">
        <f ca="1">IF(INDIRECT("'"&amp;B113&amp;"'!"&amp;$E$1)="","-",INDIRECT("'"&amp;B113&amp;"'!"&amp;$E$1))</f>
        <v>3</v>
      </c>
      <c r="F113" s="97" t="str">
        <f ca="1">IF(INDIRECT("'"&amp;B113&amp;"'!"&amp;$F$1)="","-",INDIRECT("'"&amp;B113&amp;"'!"&amp;$F$1))</f>
        <v>BAML</v>
      </c>
      <c r="G113" s="51" t="s">
        <v>538</v>
      </c>
      <c r="H113" s="51" t="s">
        <v>72</v>
      </c>
      <c r="I113" s="51" t="str">
        <f ca="1">IF(INDIRECT("'"&amp;A113&amp;"'!"&amp;$I$1)="","-",INDIRECT("'"&amp;A113&amp;"'!"&amp;$I$1))</f>
        <v>BDT Capital Partners</v>
      </c>
      <c r="J113" s="98" t="str">
        <f ca="1">IF(INDIRECT("'"&amp;B113&amp;"'!"&amp;$J$1)="","-",INDIRECT("'"&amp;B113&amp;"'!"&amp;$J$1))</f>
        <v>Michael Sorna</v>
      </c>
      <c r="K113" s="96" t="s">
        <v>60</v>
      </c>
      <c r="L113" s="46" t="s">
        <v>275</v>
      </c>
      <c r="M113" s="100">
        <v>44330</v>
      </c>
      <c r="N113" s="100">
        <v>44337</v>
      </c>
      <c r="O113" s="100">
        <f ca="1">IF(K113="done",INDIRECT("'"&amp;A113&amp;"'!"&amp;$O$1),"")</f>
        <v>44286</v>
      </c>
      <c r="P113" s="106" t="s">
        <v>634</v>
      </c>
    </row>
    <row r="114" spans="1:16" x14ac:dyDescent="0.25">
      <c r="A114" s="114" t="s">
        <v>407</v>
      </c>
      <c r="B114" s="51" t="s">
        <v>407</v>
      </c>
      <c r="C114" s="51" t="str">
        <f ca="1">INDIRECT("'"&amp;B114&amp;"'!"&amp;$C$1)</f>
        <v>Whataburger</v>
      </c>
      <c r="D114" s="131" t="s">
        <v>66</v>
      </c>
      <c r="E114" s="97">
        <f ca="1">IF(INDIRECT("'"&amp;B114&amp;"'!"&amp;$E$1)="","-",INDIRECT("'"&amp;B114&amp;"'!"&amp;$E$1))</f>
        <v>3</v>
      </c>
      <c r="F114" s="97" t="str">
        <f ca="1">IF(INDIRECT("'"&amp;B114&amp;"'!"&amp;$F$1)="","-",INDIRECT("'"&amp;B114&amp;"'!"&amp;$F$1))</f>
        <v>MS</v>
      </c>
      <c r="G114" s="51" t="s">
        <v>262</v>
      </c>
      <c r="H114" s="51" t="s">
        <v>65</v>
      </c>
      <c r="I114" s="51" t="str">
        <f ca="1">IF(INDIRECT("'"&amp;A114&amp;"'!"&amp;$I$1)="","-",INDIRECT("'"&amp;A114&amp;"'!"&amp;$I$1))</f>
        <v>BDT Capital Partners</v>
      </c>
      <c r="J114" s="98" t="str">
        <f ca="1">IF(INDIRECT("'"&amp;B114&amp;"'!"&amp;$J$1)="","-",INDIRECT("'"&amp;B114&amp;"'!"&amp;$J$1))</f>
        <v>Michael Sorna</v>
      </c>
      <c r="K114" s="96" t="s">
        <v>60</v>
      </c>
      <c r="L114" s="46" t="s">
        <v>275</v>
      </c>
      <c r="M114" s="100">
        <v>44349</v>
      </c>
      <c r="N114" s="100">
        <v>44361</v>
      </c>
      <c r="O114" s="100">
        <f ca="1">IF(K114="done",INDIRECT("'"&amp;A114&amp;"'!"&amp;$O$1),"")</f>
        <v>44286</v>
      </c>
      <c r="P114" s="106" t="s">
        <v>650</v>
      </c>
    </row>
    <row r="115" spans="1:16" x14ac:dyDescent="0.25">
      <c r="A115" s="95" t="s">
        <v>95</v>
      </c>
      <c r="B115" s="51" t="s">
        <v>95</v>
      </c>
      <c r="C115" s="51" t="str">
        <f ca="1">INDIRECT("'"&amp;B115&amp;"'!"&amp;$C$1)</f>
        <v>WorldStrides</v>
      </c>
      <c r="D115" s="131" t="s">
        <v>57</v>
      </c>
      <c r="E115" s="97">
        <f ca="1">IF(INDIRECT("'"&amp;B115&amp;"'!"&amp;$E$1)="","-",INDIRECT("'"&amp;B115&amp;"'!"&amp;$E$1))</f>
        <v>3</v>
      </c>
      <c r="F115" s="97" t="str">
        <f ca="1">IF(INDIRECT("'"&amp;B115&amp;"'!"&amp;$F$1)="","-",INDIRECT("'"&amp;B115&amp;"'!"&amp;$F$1))</f>
        <v>Goldman Sachs</v>
      </c>
      <c r="G115" s="51" t="s">
        <v>58</v>
      </c>
      <c r="H115" s="51" t="s">
        <v>59</v>
      </c>
      <c r="I115" s="51" t="str">
        <f ca="1">IF(INDIRECT("'"&amp;A115&amp;"'!"&amp;$I$1)="","-",INDIRECT("'"&amp;A115&amp;"'!"&amp;$I$1))</f>
        <v>Eurazeo Capital (90%) and Primavera Capital Group (10%)</v>
      </c>
      <c r="J115" s="98" t="str">
        <f ca="1">IF(INDIRECT("'"&amp;B115&amp;"'!"&amp;$J$1)="","-",INDIRECT("'"&amp;B115&amp;"'!"&amp;$J$1))</f>
        <v>Michael Sorna</v>
      </c>
      <c r="K115" s="96" t="s">
        <v>60</v>
      </c>
      <c r="L115" s="46" t="s">
        <v>275</v>
      </c>
      <c r="M115" s="100">
        <v>44259</v>
      </c>
      <c r="N115" s="100">
        <v>44326</v>
      </c>
      <c r="O115" s="100">
        <f ca="1">IF(K115="done",INDIRECT("'"&amp;A115&amp;"'!"&amp;$O$1),"")</f>
        <v>44196</v>
      </c>
      <c r="P115" s="126" t="s">
        <v>648</v>
      </c>
    </row>
    <row r="116" spans="1:16" x14ac:dyDescent="0.25">
      <c r="A116" s="114" t="s">
        <v>406</v>
      </c>
      <c r="B116" s="51" t="s">
        <v>406</v>
      </c>
      <c r="C116" s="51" t="str">
        <f ca="1">INDIRECT("'"&amp;B116&amp;"'!"&amp;$C$1)</f>
        <v>Worley Claims Services</v>
      </c>
      <c r="D116" s="131" t="s">
        <v>57</v>
      </c>
      <c r="E116" s="97">
        <f ca="1">IF(INDIRECT("'"&amp;B116&amp;"'!"&amp;$E$1)="","-",INDIRECT("'"&amp;B116&amp;"'!"&amp;$E$1))</f>
        <v>3</v>
      </c>
      <c r="F116" s="97" t="str">
        <f ca="1">IF(INDIRECT("'"&amp;B116&amp;"'!"&amp;$F$1)="","-",INDIRECT("'"&amp;B116&amp;"'!"&amp;$F$1))</f>
        <v xml:space="preserve">ANTARES </v>
      </c>
      <c r="G116" s="51" t="s">
        <v>75</v>
      </c>
      <c r="H116" s="51" t="s">
        <v>76</v>
      </c>
      <c r="I116" s="51" t="str">
        <f ca="1">IF(INDIRECT("'"&amp;A116&amp;"'!"&amp;$I$1)="","-",INDIRECT("'"&amp;A116&amp;"'!"&amp;$I$1))</f>
        <v>Kohlberg &amp; Co.</v>
      </c>
      <c r="J116" s="98" t="str">
        <f ca="1">IF(INDIRECT("'"&amp;B116&amp;"'!"&amp;$J$1)="","-",INDIRECT("'"&amp;B116&amp;"'!"&amp;$J$1))</f>
        <v>Michael Sorna</v>
      </c>
      <c r="K116" s="96" t="s">
        <v>60</v>
      </c>
      <c r="L116" s="46" t="s">
        <v>275</v>
      </c>
      <c r="M116" s="100">
        <v>44440</v>
      </c>
      <c r="N116" s="100">
        <v>44446</v>
      </c>
      <c r="O116" s="100">
        <f ca="1">IF(K116="done",INDIRECT("'"&amp;A116&amp;"'!"&amp;$O$1),"")</f>
        <v>44377</v>
      </c>
      <c r="P116" s="106" t="s">
        <v>706</v>
      </c>
    </row>
    <row r="1048004" spans="2:15" x14ac:dyDescent="0.25">
      <c r="B1048004" s="104"/>
      <c r="D1048004" s="105"/>
      <c r="O1048004" s="51"/>
    </row>
    <row r="1048005" spans="2:15" x14ac:dyDescent="0.25">
      <c r="B1048005" s="102"/>
      <c r="D1048005" s="105"/>
      <c r="O1048005" s="51"/>
    </row>
    <row r="1048006" spans="2:15" x14ac:dyDescent="0.25">
      <c r="B1048006" s="102"/>
      <c r="D1048006" s="105"/>
      <c r="O1048006" s="51"/>
    </row>
    <row r="1048007" spans="2:15" x14ac:dyDescent="0.25">
      <c r="B1048007" s="102"/>
      <c r="D1048007" s="105"/>
      <c r="O1048007" s="51"/>
    </row>
    <row r="1048008" spans="2:15" x14ac:dyDescent="0.25">
      <c r="B1048008" s="102"/>
      <c r="D1048008" s="105"/>
      <c r="O1048008" s="51"/>
    </row>
  </sheetData>
  <autoFilter ref="A2:AJ112" xr:uid="{619280DD-2073-46BA-ACBD-BEAC3DC7028F}">
    <filterColumn colId="14">
      <filters>
        <dateGroupItem year="2021" dateTimeGrouping="year"/>
        <dateGroupItem year="2020" dateTimeGrouping="year"/>
      </filters>
    </filterColumn>
    <sortState xmlns:xlrd2="http://schemas.microsoft.com/office/spreadsheetml/2017/richdata2" ref="A3:AJ116">
      <sortCondition ref="A2:A112"/>
    </sortState>
  </autoFilter>
  <conditionalFormatting sqref="G49:I50 H53:I53 A14:B14 D14 J14 L14 A25:J25 A48:I48 A1:O2 L47:O50 O25 K36:K40 K42:K48 M55:N58 M51:N53 M18:N19 M39:N46 A4:C4 E4:H4 J3:O4 A15:L16 A18:L21 A17:C17 E17:F17 I17:L17 O15:O21 A5:O6 M7:N14 O7:O13 A49:B77 D19:D77 A3:H3 A7:L13 A117:O330 A78:D116 G54:I116 L51:L116">
    <cfRule type="expression" dxfId="794" priority="847">
      <formula>SEARCH("no exposure",$K1)</formula>
    </cfRule>
  </conditionalFormatting>
  <conditionalFormatting sqref="L22 A22:B22 L36:L38 J45:J47 L45:L46 O22 O27:O46 M59:N59 M15:N15 M20:N38 D22:J22 A27:J35 M73:N74 A39:J44">
    <cfRule type="expression" dxfId="793" priority="846">
      <formula>SEARCH("No exposure",$K15)</formula>
    </cfRule>
  </conditionalFormatting>
  <conditionalFormatting sqref="L23 A23:J24 L26 A26:I26 O23:O24 M16:N17">
    <cfRule type="expression" dxfId="792" priority="845">
      <formula>SEARCH("No Exposure",$K16)</formula>
    </cfRule>
  </conditionalFormatting>
  <conditionalFormatting sqref="L24">
    <cfRule type="expression" dxfId="791" priority="844">
      <formula>SEARCH("No Exposure",$K24)</formula>
    </cfRule>
  </conditionalFormatting>
  <conditionalFormatting sqref="L25">
    <cfRule type="expression" dxfId="790" priority="843">
      <formula>SEARCH("no exposure",$K25)</formula>
    </cfRule>
  </conditionalFormatting>
  <conditionalFormatting sqref="J26">
    <cfRule type="expression" dxfId="789" priority="841">
      <formula>SEARCH("no exposure",$K26)</formula>
    </cfRule>
  </conditionalFormatting>
  <conditionalFormatting sqref="O26">
    <cfRule type="expression" dxfId="788" priority="839">
      <formula>SEARCH("no exposure",$K26)</formula>
    </cfRule>
  </conditionalFormatting>
  <conditionalFormatting sqref="L27">
    <cfRule type="expression" dxfId="787" priority="838">
      <formula>SEARCH("No exposure",$K27)</formula>
    </cfRule>
  </conditionalFormatting>
  <conditionalFormatting sqref="L28:L29">
    <cfRule type="expression" dxfId="786" priority="837">
      <formula>SEARCH("No exposure",$K28)</formula>
    </cfRule>
  </conditionalFormatting>
  <conditionalFormatting sqref="L30:L32">
    <cfRule type="expression" dxfId="785" priority="836">
      <formula>SEARCH("No exposure",$K30)</formula>
    </cfRule>
  </conditionalFormatting>
  <conditionalFormatting sqref="L33:L34">
    <cfRule type="expression" dxfId="784" priority="835">
      <formula>SEARCH("No exposure",$K33)</formula>
    </cfRule>
  </conditionalFormatting>
  <conditionalFormatting sqref="L35">
    <cfRule type="expression" dxfId="783" priority="834">
      <formula>SEARCH("No exposure",$K35)</formula>
    </cfRule>
  </conditionalFormatting>
  <conditionalFormatting sqref="A36:I37">
    <cfRule type="expression" dxfId="782" priority="833">
      <formula>SEARCH("No exposure",$K36)</formula>
    </cfRule>
  </conditionalFormatting>
  <conditionalFormatting sqref="J36:J37">
    <cfRule type="expression" dxfId="781" priority="832">
      <formula>SEARCH("No exposure",$K36)</formula>
    </cfRule>
  </conditionalFormatting>
  <conditionalFormatting sqref="A38:I38">
    <cfRule type="expression" dxfId="780" priority="831">
      <formula>SEARCH("No exposure",$K38)</formula>
    </cfRule>
  </conditionalFormatting>
  <conditionalFormatting sqref="J38">
    <cfRule type="expression" dxfId="779" priority="830">
      <formula>SEARCH("No exposure",$K38)</formula>
    </cfRule>
  </conditionalFormatting>
  <conditionalFormatting sqref="L39">
    <cfRule type="expression" dxfId="778" priority="829">
      <formula>SEARCH("No exposure",$K39)</formula>
    </cfRule>
  </conditionalFormatting>
  <conditionalFormatting sqref="L40">
    <cfRule type="expression" dxfId="777" priority="828">
      <formula>SEARCH("No exposure",$K40)</formula>
    </cfRule>
  </conditionalFormatting>
  <conditionalFormatting sqref="L41">
    <cfRule type="expression" dxfId="776" priority="827">
      <formula>SEARCH("No exposure",$K41)</formula>
    </cfRule>
  </conditionalFormatting>
  <conditionalFormatting sqref="L42">
    <cfRule type="expression" dxfId="775" priority="826">
      <formula>SEARCH("No exposure",$K42)</formula>
    </cfRule>
  </conditionalFormatting>
  <conditionalFormatting sqref="L43">
    <cfRule type="expression" dxfId="774" priority="825">
      <formula>SEARCH("No exposure",$K43)</formula>
    </cfRule>
  </conditionalFormatting>
  <conditionalFormatting sqref="L44">
    <cfRule type="expression" dxfId="773" priority="824">
      <formula>SEARCH("No exposure",$K44)</formula>
    </cfRule>
  </conditionalFormatting>
  <conditionalFormatting sqref="A45:I46">
    <cfRule type="expression" dxfId="772" priority="823">
      <formula>SEARCH("No exposure",$K45)</formula>
    </cfRule>
  </conditionalFormatting>
  <conditionalFormatting sqref="A47:I47">
    <cfRule type="expression" dxfId="771" priority="822">
      <formula>SEARCH("no exposure",$K47)</formula>
    </cfRule>
  </conditionalFormatting>
  <conditionalFormatting sqref="J48">
    <cfRule type="expression" dxfId="770" priority="821">
      <formula>SEARCH("No exposure",$K48)</formula>
    </cfRule>
  </conditionalFormatting>
  <conditionalFormatting sqref="K22:K34">
    <cfRule type="expression" dxfId="769" priority="819">
      <formula>SEARCH("no exposure",$K22)</formula>
    </cfRule>
  </conditionalFormatting>
  <conditionalFormatting sqref="J49">
    <cfRule type="expression" dxfId="768" priority="818">
      <formula>SEARCH("No exposure",$K49)</formula>
    </cfRule>
  </conditionalFormatting>
  <conditionalFormatting sqref="K49">
    <cfRule type="expression" dxfId="767" priority="816">
      <formula>SEARCH("no exposure",$K49)</formula>
    </cfRule>
  </conditionalFormatting>
  <conditionalFormatting sqref="E49:F49">
    <cfRule type="expression" dxfId="766" priority="815">
      <formula>SEARCH("no exposure",$K49)</formula>
    </cfRule>
  </conditionalFormatting>
  <conditionalFormatting sqref="J50">
    <cfRule type="expression" dxfId="765" priority="814">
      <formula>SEARCH("No exposure",$K50)</formula>
    </cfRule>
  </conditionalFormatting>
  <conditionalFormatting sqref="E50:F50">
    <cfRule type="expression" dxfId="764" priority="811">
      <formula>SEARCH("no exposure",$K50)</formula>
    </cfRule>
  </conditionalFormatting>
  <conditionalFormatting sqref="C49">
    <cfRule type="expression" dxfId="763" priority="810">
      <formula>SEARCH("no exposure",$K49)</formula>
    </cfRule>
  </conditionalFormatting>
  <conditionalFormatting sqref="C50">
    <cfRule type="expression" dxfId="762" priority="809">
      <formula>SEARCH("no exposure",$K50)</formula>
    </cfRule>
  </conditionalFormatting>
  <conditionalFormatting sqref="C51">
    <cfRule type="expression" dxfId="761" priority="808">
      <formula>SEARCH("no exposure",$K51)</formula>
    </cfRule>
  </conditionalFormatting>
  <conditionalFormatting sqref="E51">
    <cfRule type="expression" dxfId="760" priority="807">
      <formula>SEARCH("no exposure",$K51)</formula>
    </cfRule>
  </conditionalFormatting>
  <conditionalFormatting sqref="F51">
    <cfRule type="expression" dxfId="759" priority="806">
      <formula>SEARCH("no exposure",$K51)</formula>
    </cfRule>
  </conditionalFormatting>
  <conditionalFormatting sqref="G51:I51">
    <cfRule type="expression" dxfId="758" priority="805">
      <formula>SEARCH("no exposure",$K51)</formula>
    </cfRule>
  </conditionalFormatting>
  <conditionalFormatting sqref="K51">
    <cfRule type="expression" dxfId="757" priority="804">
      <formula>SEARCH("no exposure",$K51)</formula>
    </cfRule>
  </conditionalFormatting>
  <conditionalFormatting sqref="O51">
    <cfRule type="expression" dxfId="756" priority="803">
      <formula>SEARCH("no exposure",$K51)</formula>
    </cfRule>
  </conditionalFormatting>
  <conditionalFormatting sqref="C52">
    <cfRule type="expression" dxfId="755" priority="801">
      <formula>SEARCH("no exposure",$K52)</formula>
    </cfRule>
  </conditionalFormatting>
  <conditionalFormatting sqref="E52">
    <cfRule type="expression" dxfId="754" priority="800">
      <formula>SEARCH("no exposure",$K52)</formula>
    </cfRule>
  </conditionalFormatting>
  <conditionalFormatting sqref="F52">
    <cfRule type="expression" dxfId="753" priority="799">
      <formula>SEARCH("no exposure",$K52)</formula>
    </cfRule>
  </conditionalFormatting>
  <conditionalFormatting sqref="G52">
    <cfRule type="expression" dxfId="752" priority="798">
      <formula>SEARCH("no exposure",$K52)</formula>
    </cfRule>
  </conditionalFormatting>
  <conditionalFormatting sqref="H52:I52">
    <cfRule type="expression" dxfId="751" priority="797">
      <formula>SEARCH("no exposure",$K52)</formula>
    </cfRule>
  </conditionalFormatting>
  <conditionalFormatting sqref="K52">
    <cfRule type="expression" dxfId="750" priority="796">
      <formula>SEARCH("no exposure",$K52)</formula>
    </cfRule>
  </conditionalFormatting>
  <conditionalFormatting sqref="O52">
    <cfRule type="expression" dxfId="749" priority="795">
      <formula>SEARCH("no exposure",$K52)</formula>
    </cfRule>
  </conditionalFormatting>
  <conditionalFormatting sqref="C53">
    <cfRule type="expression" dxfId="748" priority="794">
      <formula>SEARCH("no exposure",$K53)</formula>
    </cfRule>
  </conditionalFormatting>
  <conditionalFormatting sqref="F53">
    <cfRule type="expression" dxfId="747" priority="792">
      <formula>SEARCH("no exposure",$K53)</formula>
    </cfRule>
  </conditionalFormatting>
  <conditionalFormatting sqref="G53">
    <cfRule type="expression" dxfId="746" priority="791">
      <formula>SEARCH("no exposure",$K53)</formula>
    </cfRule>
  </conditionalFormatting>
  <conditionalFormatting sqref="K53">
    <cfRule type="expression" dxfId="745" priority="790">
      <formula>SEARCH("no exposure",$K53)</formula>
    </cfRule>
  </conditionalFormatting>
  <conditionalFormatting sqref="O53">
    <cfRule type="expression" dxfId="744" priority="789">
      <formula>SEARCH("no exposure",$K53)</formula>
    </cfRule>
  </conditionalFormatting>
  <conditionalFormatting sqref="C14">
    <cfRule type="expression" dxfId="743" priority="788">
      <formula>SEARCH("no exposure",$K14)</formula>
    </cfRule>
  </conditionalFormatting>
  <conditionalFormatting sqref="F14">
    <cfRule type="expression" dxfId="742" priority="785">
      <formula>SEARCH("no exposure",$K14)</formula>
    </cfRule>
  </conditionalFormatting>
  <conditionalFormatting sqref="G14:I14">
    <cfRule type="expression" dxfId="741" priority="784">
      <formula>SEARCH("no exposure",$K14)</formula>
    </cfRule>
  </conditionalFormatting>
  <conditionalFormatting sqref="O14">
    <cfRule type="expression" dxfId="740" priority="782">
      <formula>SEARCH("no exposure",$K14)</formula>
    </cfRule>
  </conditionalFormatting>
  <conditionalFormatting sqref="E14">
    <cfRule type="expression" dxfId="739" priority="781">
      <formula>SEARCH("no exposure",$K14)</formula>
    </cfRule>
  </conditionalFormatting>
  <conditionalFormatting sqref="E53">
    <cfRule type="expression" dxfId="738" priority="780">
      <formula>SEARCH("no exposure",$K53)</formula>
    </cfRule>
  </conditionalFormatting>
  <conditionalFormatting sqref="C54">
    <cfRule type="expression" dxfId="737" priority="779">
      <formula>SEARCH("no exposure",$K54)</formula>
    </cfRule>
  </conditionalFormatting>
  <conditionalFormatting sqref="E54">
    <cfRule type="expression" dxfId="736" priority="778">
      <formula>SEARCH("no exposure",$K54)</formula>
    </cfRule>
  </conditionalFormatting>
  <conditionalFormatting sqref="F54">
    <cfRule type="expression" dxfId="735" priority="777">
      <formula>SEARCH("no exposure",$K54)</formula>
    </cfRule>
  </conditionalFormatting>
  <conditionalFormatting sqref="K54">
    <cfRule type="expression" dxfId="734" priority="776">
      <formula>SEARCH("no exposure",$K54)</formula>
    </cfRule>
  </conditionalFormatting>
  <conditionalFormatting sqref="O54">
    <cfRule type="expression" dxfId="733" priority="775">
      <formula>SEARCH("no exposure",$K54)</formula>
    </cfRule>
  </conditionalFormatting>
  <conditionalFormatting sqref="J51">
    <cfRule type="expression" dxfId="732" priority="774">
      <formula>SEARCH("No exposure",$K51)</formula>
    </cfRule>
  </conditionalFormatting>
  <conditionalFormatting sqref="J52">
    <cfRule type="expression" dxfId="731" priority="773">
      <formula>SEARCH("No exposure",$K52)</formula>
    </cfRule>
  </conditionalFormatting>
  <conditionalFormatting sqref="J53">
    <cfRule type="expression" dxfId="730" priority="772">
      <formula>SEARCH("No exposure",$K53)</formula>
    </cfRule>
  </conditionalFormatting>
  <conditionalFormatting sqref="J54">
    <cfRule type="expression" dxfId="729" priority="771">
      <formula>SEARCH("No exposure",$K54)</formula>
    </cfRule>
  </conditionalFormatting>
  <conditionalFormatting sqref="M86:N86">
    <cfRule type="expression" dxfId="728" priority="770">
      <formula>SEARCH("no exposure",$K86)</formula>
    </cfRule>
  </conditionalFormatting>
  <conditionalFormatting sqref="M54:N54">
    <cfRule type="expression" dxfId="727" priority="769">
      <formula>SEARCH("no exposure",$K54)</formula>
    </cfRule>
  </conditionalFormatting>
  <conditionalFormatting sqref="N60">
    <cfRule type="expression" dxfId="726" priority="767">
      <formula>SEARCH("No Exposure",$K60)</formula>
    </cfRule>
  </conditionalFormatting>
  <conditionalFormatting sqref="N61">
    <cfRule type="expression" dxfId="725" priority="766">
      <formula>SEARCH("No Exposure",$K61)</formula>
    </cfRule>
  </conditionalFormatting>
  <conditionalFormatting sqref="M62:N62">
    <cfRule type="expression" dxfId="724" priority="765">
      <formula>SEARCH("no exposure",$K62)</formula>
    </cfRule>
  </conditionalFormatting>
  <conditionalFormatting sqref="N63">
    <cfRule type="expression" dxfId="723" priority="764">
      <formula>SEARCH("no exposure",$K63)</formula>
    </cfRule>
  </conditionalFormatting>
  <conditionalFormatting sqref="M64:N64">
    <cfRule type="expression" dxfId="722" priority="763">
      <formula>SEARCH("No exposure",$K64)</formula>
    </cfRule>
  </conditionalFormatting>
  <conditionalFormatting sqref="M65:N65">
    <cfRule type="expression" dxfId="721" priority="762">
      <formula>SEARCH("No exposure",$K65)</formula>
    </cfRule>
  </conditionalFormatting>
  <conditionalFormatting sqref="M67:N69">
    <cfRule type="expression" dxfId="720" priority="761">
      <formula>SEARCH("No exposure",$K67)</formula>
    </cfRule>
  </conditionalFormatting>
  <conditionalFormatting sqref="M72:N72">
    <cfRule type="expression" dxfId="719" priority="759">
      <formula>SEARCH("No exposure",$K72)</formula>
    </cfRule>
  </conditionalFormatting>
  <conditionalFormatting sqref="N80">
    <cfRule type="expression" dxfId="718" priority="753">
      <formula>SEARCH("No exposure",$K80)</formula>
    </cfRule>
  </conditionalFormatting>
  <conditionalFormatting sqref="M89:N89">
    <cfRule type="expression" dxfId="717" priority="750">
      <formula>SEARCH("no exposure",$K89)</formula>
    </cfRule>
  </conditionalFormatting>
  <conditionalFormatting sqref="L3:L54">
    <cfRule type="cellIs" dxfId="716" priority="747" operator="equal">
      <formula>"Y"</formula>
    </cfRule>
    <cfRule type="cellIs" dxfId="715" priority="748" operator="equal">
      <formula>"N"</formula>
    </cfRule>
  </conditionalFormatting>
  <conditionalFormatting sqref="K14">
    <cfRule type="expression" dxfId="714" priority="746">
      <formula>SEARCH("no exposure",$K14)</formula>
    </cfRule>
  </conditionalFormatting>
  <conditionalFormatting sqref="K35">
    <cfRule type="expression" dxfId="713" priority="745">
      <formula>SEARCH("no exposure",$K35)</formula>
    </cfRule>
  </conditionalFormatting>
  <conditionalFormatting sqref="K41">
    <cfRule type="expression" dxfId="712" priority="744">
      <formula>SEARCH("no exposure",$K41)</formula>
    </cfRule>
  </conditionalFormatting>
  <conditionalFormatting sqref="K50">
    <cfRule type="expression" dxfId="711" priority="743">
      <formula>SEARCH("no exposure",$K50)</formula>
    </cfRule>
  </conditionalFormatting>
  <conditionalFormatting sqref="C55">
    <cfRule type="expression" dxfId="710" priority="742">
      <formula>SEARCH("no exposure",$K55)</formula>
    </cfRule>
  </conditionalFormatting>
  <conditionalFormatting sqref="E55">
    <cfRule type="expression" dxfId="709" priority="741">
      <formula>SEARCH("no exposure",$K55)</formula>
    </cfRule>
  </conditionalFormatting>
  <conditionalFormatting sqref="F55">
    <cfRule type="expression" dxfId="708" priority="740">
      <formula>SEARCH("no exposure",$K55)</formula>
    </cfRule>
  </conditionalFormatting>
  <conditionalFormatting sqref="J55">
    <cfRule type="expression" dxfId="707" priority="739">
      <formula>SEARCH("No exposure",$K55)</formula>
    </cfRule>
  </conditionalFormatting>
  <conditionalFormatting sqref="K55">
    <cfRule type="expression" dxfId="706" priority="738">
      <formula>SEARCH("no exposure",$K55)</formula>
    </cfRule>
  </conditionalFormatting>
  <conditionalFormatting sqref="L55">
    <cfRule type="cellIs" dxfId="705" priority="736" operator="equal">
      <formula>"Y"</formula>
    </cfRule>
    <cfRule type="cellIs" dxfId="704" priority="737" operator="equal">
      <formula>"N"</formula>
    </cfRule>
  </conditionalFormatting>
  <conditionalFormatting sqref="O55">
    <cfRule type="expression" dxfId="703" priority="735">
      <formula>SEARCH("no exposure",$K55)</formula>
    </cfRule>
  </conditionalFormatting>
  <conditionalFormatting sqref="I3">
    <cfRule type="expression" dxfId="702" priority="734">
      <formula>SEARCH("no exposure",$K3)</formula>
    </cfRule>
  </conditionalFormatting>
  <conditionalFormatting sqref="C56">
    <cfRule type="expression" dxfId="701" priority="733">
      <formula>SEARCH("no exposure",$K56)</formula>
    </cfRule>
  </conditionalFormatting>
  <conditionalFormatting sqref="E56">
    <cfRule type="expression" dxfId="700" priority="732">
      <formula>SEARCH("no exposure",$K56)</formula>
    </cfRule>
  </conditionalFormatting>
  <conditionalFormatting sqref="F56">
    <cfRule type="expression" dxfId="699" priority="731">
      <formula>SEARCH("no exposure",$K56)</formula>
    </cfRule>
  </conditionalFormatting>
  <conditionalFormatting sqref="J56">
    <cfRule type="expression" dxfId="698" priority="730">
      <formula>SEARCH("No exposure",$K56)</formula>
    </cfRule>
  </conditionalFormatting>
  <conditionalFormatting sqref="K56">
    <cfRule type="expression" dxfId="697" priority="729">
      <formula>SEARCH("no exposure",$K56)</formula>
    </cfRule>
  </conditionalFormatting>
  <conditionalFormatting sqref="L56">
    <cfRule type="cellIs" dxfId="696" priority="727" operator="equal">
      <formula>"Y"</formula>
    </cfRule>
    <cfRule type="cellIs" dxfId="695" priority="728" operator="equal">
      <formula>"N"</formula>
    </cfRule>
  </conditionalFormatting>
  <conditionalFormatting sqref="O56">
    <cfRule type="expression" dxfId="694" priority="726">
      <formula>SEARCH("no exposure",$K56)</formula>
    </cfRule>
  </conditionalFormatting>
  <conditionalFormatting sqref="C57">
    <cfRule type="expression" dxfId="693" priority="725">
      <formula>SEARCH("no exposure",$K57)</formula>
    </cfRule>
  </conditionalFormatting>
  <conditionalFormatting sqref="E57">
    <cfRule type="expression" dxfId="692" priority="724">
      <formula>SEARCH("no exposure",$K57)</formula>
    </cfRule>
  </conditionalFormatting>
  <conditionalFormatting sqref="F57">
    <cfRule type="expression" dxfId="691" priority="723">
      <formula>SEARCH("no exposure",$K57)</formula>
    </cfRule>
  </conditionalFormatting>
  <conditionalFormatting sqref="J57">
    <cfRule type="expression" dxfId="690" priority="722">
      <formula>SEARCH("No exposure",$K57)</formula>
    </cfRule>
  </conditionalFormatting>
  <conditionalFormatting sqref="K57">
    <cfRule type="expression" dxfId="689" priority="721">
      <formula>SEARCH("no exposure",$K57)</formula>
    </cfRule>
  </conditionalFormatting>
  <conditionalFormatting sqref="L57">
    <cfRule type="cellIs" dxfId="688" priority="719" operator="equal">
      <formula>"Y"</formula>
    </cfRule>
    <cfRule type="cellIs" dxfId="687" priority="720" operator="equal">
      <formula>"N"</formula>
    </cfRule>
  </conditionalFormatting>
  <conditionalFormatting sqref="O57">
    <cfRule type="expression" dxfId="686" priority="718">
      <formula>SEARCH("no exposure",$K57)</formula>
    </cfRule>
  </conditionalFormatting>
  <conditionalFormatting sqref="D11">
    <cfRule type="expression" dxfId="685" priority="714">
      <formula>SEARCH("No exposure",$K11)</formula>
    </cfRule>
  </conditionalFormatting>
  <conditionalFormatting sqref="D12">
    <cfRule type="expression" dxfId="684" priority="713">
      <formula>SEARCH("No Exposure",$K12)</formula>
    </cfRule>
  </conditionalFormatting>
  <conditionalFormatting sqref="D20">
    <cfRule type="expression" dxfId="683" priority="712">
      <formula>SEARCH("No exposure",$K20)</formula>
    </cfRule>
  </conditionalFormatting>
  <conditionalFormatting sqref="D20">
    <cfRule type="expression" dxfId="682" priority="711">
      <formula>SEARCH("No Exposure",$K20)</formula>
    </cfRule>
  </conditionalFormatting>
  <conditionalFormatting sqref="D21">
    <cfRule type="expression" dxfId="681" priority="710">
      <formula>SEARCH("No exposure",$K21)</formula>
    </cfRule>
  </conditionalFormatting>
  <conditionalFormatting sqref="D21">
    <cfRule type="expression" dxfId="680" priority="709">
      <formula>SEARCH("No exposure",$K21)</formula>
    </cfRule>
  </conditionalFormatting>
  <conditionalFormatting sqref="D22">
    <cfRule type="expression" dxfId="679" priority="708">
      <formula>SEARCH("No Exposure",$K22)</formula>
    </cfRule>
  </conditionalFormatting>
  <conditionalFormatting sqref="D23">
    <cfRule type="expression" dxfId="678" priority="707">
      <formula>SEARCH("No exposure",$K23)</formula>
    </cfRule>
  </conditionalFormatting>
  <conditionalFormatting sqref="D23">
    <cfRule type="expression" dxfId="677" priority="706">
      <formula>SEARCH("No exposure",$K23)</formula>
    </cfRule>
  </conditionalFormatting>
  <conditionalFormatting sqref="D23">
    <cfRule type="expression" dxfId="676" priority="705">
      <formula>SEARCH("No Exposure",$K23)</formula>
    </cfRule>
  </conditionalFormatting>
  <conditionalFormatting sqref="D25">
    <cfRule type="expression" dxfId="675" priority="704">
      <formula>SEARCH("No exposure",$K25)</formula>
    </cfRule>
  </conditionalFormatting>
  <conditionalFormatting sqref="D25">
    <cfRule type="expression" dxfId="674" priority="703">
      <formula>SEARCH("No exposure",$K25)</formula>
    </cfRule>
  </conditionalFormatting>
  <conditionalFormatting sqref="D28">
    <cfRule type="expression" dxfId="673" priority="702">
      <formula>SEARCH("No Exposure",$K28)</formula>
    </cfRule>
  </conditionalFormatting>
  <conditionalFormatting sqref="D28">
    <cfRule type="expression" dxfId="672" priority="701">
      <formula>SEARCH("No exposure",$K28)</formula>
    </cfRule>
  </conditionalFormatting>
  <conditionalFormatting sqref="D28">
    <cfRule type="expression" dxfId="671" priority="700">
      <formula>SEARCH("No exposure",$K28)</formula>
    </cfRule>
  </conditionalFormatting>
  <conditionalFormatting sqref="D28">
    <cfRule type="expression" dxfId="670" priority="699">
      <formula>SEARCH("No Exposure",$K28)</formula>
    </cfRule>
  </conditionalFormatting>
  <conditionalFormatting sqref="D30">
    <cfRule type="expression" dxfId="669" priority="698">
      <formula>SEARCH("No Exposure",$K30)</formula>
    </cfRule>
  </conditionalFormatting>
  <conditionalFormatting sqref="D37">
    <cfRule type="expression" dxfId="668" priority="697">
      <formula>SEARCH("No exposure",$K37)</formula>
    </cfRule>
  </conditionalFormatting>
  <conditionalFormatting sqref="D39">
    <cfRule type="expression" dxfId="667" priority="696">
      <formula>SEARCH("No exposure",$K39)</formula>
    </cfRule>
  </conditionalFormatting>
  <conditionalFormatting sqref="D39">
    <cfRule type="expression" dxfId="666" priority="695">
      <formula>SEARCH("No exposure",$K39)</formula>
    </cfRule>
  </conditionalFormatting>
  <conditionalFormatting sqref="D40">
    <cfRule type="expression" dxfId="665" priority="694">
      <formula>SEARCH("No exposure",$K40)</formula>
    </cfRule>
  </conditionalFormatting>
  <conditionalFormatting sqref="D40">
    <cfRule type="expression" dxfId="664" priority="693">
      <formula>SEARCH("No exposure",$K40)</formula>
    </cfRule>
  </conditionalFormatting>
  <conditionalFormatting sqref="D47">
    <cfRule type="expression" dxfId="663" priority="692">
      <formula>SEARCH("No exposure",$K47)</formula>
    </cfRule>
  </conditionalFormatting>
  <conditionalFormatting sqref="D49">
    <cfRule type="expression" dxfId="662" priority="691">
      <formula>SEARCH("no exposure",$K49)</formula>
    </cfRule>
  </conditionalFormatting>
  <conditionalFormatting sqref="D49">
    <cfRule type="expression" dxfId="661" priority="690">
      <formula>SEARCH("No exposure",$K49)</formula>
    </cfRule>
  </conditionalFormatting>
  <conditionalFormatting sqref="D51">
    <cfRule type="expression" dxfId="660" priority="689">
      <formula>SEARCH("No exposure",$K51)</formula>
    </cfRule>
  </conditionalFormatting>
  <conditionalFormatting sqref="D52">
    <cfRule type="expression" dxfId="659" priority="688">
      <formula>SEARCH("No exposure",$K52)</formula>
    </cfRule>
  </conditionalFormatting>
  <conditionalFormatting sqref="D53">
    <cfRule type="expression" dxfId="658" priority="687">
      <formula>SEARCH("no exposure",$K53)</formula>
    </cfRule>
  </conditionalFormatting>
  <conditionalFormatting sqref="D53">
    <cfRule type="expression" dxfId="657" priority="686">
      <formula>SEARCH("No exposure",$K53)</formula>
    </cfRule>
  </conditionalFormatting>
  <conditionalFormatting sqref="D55">
    <cfRule type="expression" dxfId="656" priority="685">
      <formula>SEARCH("No exposure",$K55)</formula>
    </cfRule>
  </conditionalFormatting>
  <conditionalFormatting sqref="D55">
    <cfRule type="expression" dxfId="655" priority="684">
      <formula>SEARCH("No Exposure",$K55)</formula>
    </cfRule>
  </conditionalFormatting>
  <conditionalFormatting sqref="C58">
    <cfRule type="expression" dxfId="654" priority="683">
      <formula>SEARCH("no exposure",$K58)</formula>
    </cfRule>
  </conditionalFormatting>
  <conditionalFormatting sqref="E58">
    <cfRule type="expression" dxfId="653" priority="682">
      <formula>SEARCH("no exposure",$K58)</formula>
    </cfRule>
  </conditionalFormatting>
  <conditionalFormatting sqref="F58">
    <cfRule type="expression" dxfId="652" priority="681">
      <formula>SEARCH("no exposure",$K58)</formula>
    </cfRule>
  </conditionalFormatting>
  <conditionalFormatting sqref="J58">
    <cfRule type="expression" dxfId="651" priority="680">
      <formula>SEARCH("No exposure",$K58)</formula>
    </cfRule>
  </conditionalFormatting>
  <conditionalFormatting sqref="K58">
    <cfRule type="expression" dxfId="650" priority="679">
      <formula>SEARCH("no exposure",$K58)</formula>
    </cfRule>
  </conditionalFormatting>
  <conditionalFormatting sqref="L58">
    <cfRule type="cellIs" dxfId="649" priority="677" operator="equal">
      <formula>"Y"</formula>
    </cfRule>
    <cfRule type="cellIs" dxfId="648" priority="678" operator="equal">
      <formula>"N"</formula>
    </cfRule>
  </conditionalFormatting>
  <conditionalFormatting sqref="O58">
    <cfRule type="expression" dxfId="647" priority="676">
      <formula>SEARCH("no exposure",$K58)</formula>
    </cfRule>
  </conditionalFormatting>
  <conditionalFormatting sqref="C59">
    <cfRule type="expression" dxfId="646" priority="675">
      <formula>SEARCH("no exposure",$K59)</formula>
    </cfRule>
  </conditionalFormatting>
  <conditionalFormatting sqref="E59">
    <cfRule type="expression" dxfId="645" priority="674">
      <formula>SEARCH("no exposure",$K59)</formula>
    </cfRule>
  </conditionalFormatting>
  <conditionalFormatting sqref="F59">
    <cfRule type="expression" dxfId="644" priority="673">
      <formula>SEARCH("no exposure",$K59)</formula>
    </cfRule>
  </conditionalFormatting>
  <conditionalFormatting sqref="J59">
    <cfRule type="expression" dxfId="643" priority="672">
      <formula>SEARCH("No exposure",$K59)</formula>
    </cfRule>
  </conditionalFormatting>
  <conditionalFormatting sqref="L59">
    <cfRule type="cellIs" dxfId="642" priority="669" operator="equal">
      <formula>"Y"</formula>
    </cfRule>
    <cfRule type="cellIs" dxfId="641" priority="670" operator="equal">
      <formula>"N"</formula>
    </cfRule>
  </conditionalFormatting>
  <conditionalFormatting sqref="O59">
    <cfRule type="expression" dxfId="640" priority="668">
      <formula>SEARCH("no exposure",$K59)</formula>
    </cfRule>
  </conditionalFormatting>
  <conditionalFormatting sqref="L60">
    <cfRule type="cellIs" dxfId="639" priority="661" operator="equal">
      <formula>"Y"</formula>
    </cfRule>
    <cfRule type="cellIs" dxfId="638" priority="662" operator="equal">
      <formula>"N"</formula>
    </cfRule>
  </conditionalFormatting>
  <conditionalFormatting sqref="D3">
    <cfRule type="expression" dxfId="637" priority="659">
      <formula>SEARCH("No exposure",$K3)</formula>
    </cfRule>
  </conditionalFormatting>
  <conditionalFormatting sqref="D3">
    <cfRule type="expression" dxfId="636" priority="658">
      <formula>SEARCH("No exposure",$K3)</formula>
    </cfRule>
  </conditionalFormatting>
  <conditionalFormatting sqref="D3">
    <cfRule type="expression" dxfId="635" priority="657">
      <formula>SEARCH("No exposure",$K3)</formula>
    </cfRule>
  </conditionalFormatting>
  <conditionalFormatting sqref="C60">
    <cfRule type="expression" dxfId="634" priority="656">
      <formula>SEARCH("no exposure",$K60)</formula>
    </cfRule>
  </conditionalFormatting>
  <conditionalFormatting sqref="E60">
    <cfRule type="expression" dxfId="633" priority="655">
      <formula>SEARCH("no exposure",$K60)</formula>
    </cfRule>
  </conditionalFormatting>
  <conditionalFormatting sqref="F60">
    <cfRule type="expression" dxfId="632" priority="654">
      <formula>SEARCH("no exposure",$K60)</formula>
    </cfRule>
  </conditionalFormatting>
  <conditionalFormatting sqref="J60">
    <cfRule type="expression" dxfId="631" priority="653">
      <formula>SEARCH("No exposure",$K60)</formula>
    </cfRule>
  </conditionalFormatting>
  <conditionalFormatting sqref="K60">
    <cfRule type="expression" dxfId="630" priority="652">
      <formula>SEARCH("no exposure",$K60)</formula>
    </cfRule>
  </conditionalFormatting>
  <conditionalFormatting sqref="L60">
    <cfRule type="cellIs" dxfId="629" priority="650" operator="equal">
      <formula>"Y"</formula>
    </cfRule>
    <cfRule type="cellIs" dxfId="628" priority="651" operator="equal">
      <formula>"N"</formula>
    </cfRule>
  </conditionalFormatting>
  <conditionalFormatting sqref="M60">
    <cfRule type="expression" dxfId="627" priority="649">
      <formula>SEARCH("No exposure",$K60)</formula>
    </cfRule>
  </conditionalFormatting>
  <conditionalFormatting sqref="O60">
    <cfRule type="expression" dxfId="626" priority="648">
      <formula>SEARCH("no exposure",$K60)</formula>
    </cfRule>
  </conditionalFormatting>
  <conditionalFormatting sqref="E61">
    <cfRule type="expression" dxfId="625" priority="646">
      <formula>SEARCH("no exposure",$K61)</formula>
    </cfRule>
  </conditionalFormatting>
  <conditionalFormatting sqref="F61">
    <cfRule type="expression" dxfId="624" priority="645">
      <formula>SEARCH("no exposure",$K61)</formula>
    </cfRule>
  </conditionalFormatting>
  <conditionalFormatting sqref="J61">
    <cfRule type="expression" dxfId="623" priority="644">
      <formula>SEARCH("No exposure",$K61)</formula>
    </cfRule>
  </conditionalFormatting>
  <conditionalFormatting sqref="K61">
    <cfRule type="expression" dxfId="622" priority="643">
      <formula>SEARCH("no exposure",$K61)</formula>
    </cfRule>
  </conditionalFormatting>
  <conditionalFormatting sqref="L61">
    <cfRule type="cellIs" dxfId="621" priority="641" operator="equal">
      <formula>"Y"</formula>
    </cfRule>
    <cfRule type="cellIs" dxfId="620" priority="642" operator="equal">
      <formula>"N"</formula>
    </cfRule>
  </conditionalFormatting>
  <conditionalFormatting sqref="L61">
    <cfRule type="cellIs" dxfId="619" priority="639" operator="equal">
      <formula>"Y"</formula>
    </cfRule>
    <cfRule type="cellIs" dxfId="618" priority="640" operator="equal">
      <formula>"N"</formula>
    </cfRule>
  </conditionalFormatting>
  <conditionalFormatting sqref="M61">
    <cfRule type="expression" dxfId="617" priority="638">
      <formula>SEARCH("No exposure",$K61)</formula>
    </cfRule>
  </conditionalFormatting>
  <conditionalFormatting sqref="O61">
    <cfRule type="expression" dxfId="616" priority="637">
      <formula>SEARCH("no exposure",$K61)</formula>
    </cfRule>
  </conditionalFormatting>
  <conditionalFormatting sqref="D32">
    <cfRule type="expression" dxfId="615" priority="636">
      <formula>SEARCH("No Exposure",$K32)</formula>
    </cfRule>
  </conditionalFormatting>
  <conditionalFormatting sqref="I4">
    <cfRule type="expression" dxfId="614" priority="634">
      <formula>SEARCH("no exposure",$K4)</formula>
    </cfRule>
  </conditionalFormatting>
  <conditionalFormatting sqref="D4">
    <cfRule type="expression" dxfId="613" priority="633">
      <formula>SEARCH("no exposure",$K4)</formula>
    </cfRule>
  </conditionalFormatting>
  <conditionalFormatting sqref="D4">
    <cfRule type="expression" dxfId="612" priority="632">
      <formula>SEARCH("No exposure",$K4)</formula>
    </cfRule>
  </conditionalFormatting>
  <conditionalFormatting sqref="D4">
    <cfRule type="expression" dxfId="611" priority="631">
      <formula>SEARCH("No exposure",$K4)</formula>
    </cfRule>
  </conditionalFormatting>
  <conditionalFormatting sqref="D4">
    <cfRule type="expression" dxfId="610" priority="630">
      <formula>SEARCH("No exposure",$K4)</formula>
    </cfRule>
  </conditionalFormatting>
  <conditionalFormatting sqref="G17">
    <cfRule type="expression" dxfId="609" priority="626">
      <formula>SEARCH("No exposure",$K17)</formula>
    </cfRule>
  </conditionalFormatting>
  <conditionalFormatting sqref="H17">
    <cfRule type="expression" dxfId="608" priority="625">
      <formula>SEARCH("No exposure",$K17)</formula>
    </cfRule>
  </conditionalFormatting>
  <conditionalFormatting sqref="C62">
    <cfRule type="expression" dxfId="607" priority="624">
      <formula>SEARCH("no exposure",$K62)</formula>
    </cfRule>
  </conditionalFormatting>
  <conditionalFormatting sqref="E62">
    <cfRule type="expression" dxfId="606" priority="623">
      <formula>SEARCH("no exposure",$K62)</formula>
    </cfRule>
  </conditionalFormatting>
  <conditionalFormatting sqref="F62">
    <cfRule type="expression" dxfId="605" priority="622">
      <formula>SEARCH("no exposure",$K62)</formula>
    </cfRule>
  </conditionalFormatting>
  <conditionalFormatting sqref="J62">
    <cfRule type="expression" dxfId="604" priority="621">
      <formula>SEARCH("No exposure",$K62)</formula>
    </cfRule>
  </conditionalFormatting>
  <conditionalFormatting sqref="K62">
    <cfRule type="expression" dxfId="603" priority="620">
      <formula>SEARCH("no exposure",$K62)</formula>
    </cfRule>
  </conditionalFormatting>
  <conditionalFormatting sqref="L62">
    <cfRule type="cellIs" dxfId="602" priority="618" operator="equal">
      <formula>"Y"</formula>
    </cfRule>
    <cfRule type="cellIs" dxfId="601" priority="619" operator="equal">
      <formula>"N"</formula>
    </cfRule>
  </conditionalFormatting>
  <conditionalFormatting sqref="L62">
    <cfRule type="cellIs" dxfId="600" priority="616" operator="equal">
      <formula>"Y"</formula>
    </cfRule>
    <cfRule type="cellIs" dxfId="599" priority="617" operator="equal">
      <formula>"N"</formula>
    </cfRule>
  </conditionalFormatting>
  <conditionalFormatting sqref="O62">
    <cfRule type="expression" dxfId="598" priority="615">
      <formula>SEARCH("no exposure",$K62)</formula>
    </cfRule>
  </conditionalFormatting>
  <conditionalFormatting sqref="C61">
    <cfRule type="expression" dxfId="597" priority="614">
      <formula>SEARCH("no exposure",$K61)</formula>
    </cfRule>
  </conditionalFormatting>
  <conditionalFormatting sqref="C63">
    <cfRule type="expression" dxfId="596" priority="613">
      <formula>SEARCH("no exposure",$K63)</formula>
    </cfRule>
  </conditionalFormatting>
  <conditionalFormatting sqref="E63">
    <cfRule type="expression" dxfId="595" priority="612">
      <formula>SEARCH("no exposure",$K63)</formula>
    </cfRule>
  </conditionalFormatting>
  <conditionalFormatting sqref="F63">
    <cfRule type="expression" dxfId="594" priority="611">
      <formula>SEARCH("no exposure",$K63)</formula>
    </cfRule>
  </conditionalFormatting>
  <conditionalFormatting sqref="J63">
    <cfRule type="expression" dxfId="593" priority="610">
      <formula>SEARCH("No exposure",$K63)</formula>
    </cfRule>
  </conditionalFormatting>
  <conditionalFormatting sqref="K63">
    <cfRule type="expression" dxfId="592" priority="609">
      <formula>SEARCH("no exposure",$K63)</formula>
    </cfRule>
  </conditionalFormatting>
  <conditionalFormatting sqref="L63">
    <cfRule type="cellIs" dxfId="591" priority="607" operator="equal">
      <formula>"Y"</formula>
    </cfRule>
    <cfRule type="cellIs" dxfId="590" priority="608" operator="equal">
      <formula>"N"</formula>
    </cfRule>
  </conditionalFormatting>
  <conditionalFormatting sqref="L63">
    <cfRule type="cellIs" dxfId="589" priority="605" operator="equal">
      <formula>"Y"</formula>
    </cfRule>
    <cfRule type="cellIs" dxfId="588" priority="606" operator="equal">
      <formula>"N"</formula>
    </cfRule>
  </conditionalFormatting>
  <conditionalFormatting sqref="M63">
    <cfRule type="expression" dxfId="587" priority="604">
      <formula>SEARCH("no exposure",$K63)</formula>
    </cfRule>
  </conditionalFormatting>
  <conditionalFormatting sqref="O63">
    <cfRule type="expression" dxfId="586" priority="603">
      <formula>SEARCH("no exposure",$K63)</formula>
    </cfRule>
  </conditionalFormatting>
  <conditionalFormatting sqref="E64">
    <cfRule type="expression" dxfId="585" priority="601">
      <formula>SEARCH("no exposure",$K64)</formula>
    </cfRule>
  </conditionalFormatting>
  <conditionalFormatting sqref="F64">
    <cfRule type="expression" dxfId="584" priority="600">
      <formula>SEARCH("no exposure",$K64)</formula>
    </cfRule>
  </conditionalFormatting>
  <conditionalFormatting sqref="J64">
    <cfRule type="expression" dxfId="583" priority="599">
      <formula>SEARCH("No exposure",$K64)</formula>
    </cfRule>
  </conditionalFormatting>
  <conditionalFormatting sqref="K64">
    <cfRule type="expression" dxfId="582" priority="598">
      <formula>SEARCH("no exposure",$K64)</formula>
    </cfRule>
  </conditionalFormatting>
  <conditionalFormatting sqref="L64">
    <cfRule type="cellIs" dxfId="581" priority="596" operator="equal">
      <formula>"Y"</formula>
    </cfRule>
    <cfRule type="cellIs" dxfId="580" priority="597" operator="equal">
      <formula>"N"</formula>
    </cfRule>
  </conditionalFormatting>
  <conditionalFormatting sqref="L64">
    <cfRule type="cellIs" dxfId="579" priority="594" operator="equal">
      <formula>"Y"</formula>
    </cfRule>
    <cfRule type="cellIs" dxfId="578" priority="595" operator="equal">
      <formula>"N"</formula>
    </cfRule>
  </conditionalFormatting>
  <conditionalFormatting sqref="O64">
    <cfRule type="expression" dxfId="577" priority="593">
      <formula>SEARCH("no exposure",$K64)</formula>
    </cfRule>
  </conditionalFormatting>
  <conditionalFormatting sqref="E65">
    <cfRule type="expression" dxfId="576" priority="591">
      <formula>SEARCH("no exposure",$K65)</formula>
    </cfRule>
  </conditionalFormatting>
  <conditionalFormatting sqref="F65">
    <cfRule type="expression" dxfId="575" priority="590">
      <formula>SEARCH("no exposure",$K65)</formula>
    </cfRule>
  </conditionalFormatting>
  <conditionalFormatting sqref="J65">
    <cfRule type="expression" dxfId="574" priority="589">
      <formula>SEARCH("No exposure",$K65)</formula>
    </cfRule>
  </conditionalFormatting>
  <conditionalFormatting sqref="K65">
    <cfRule type="expression" dxfId="573" priority="588">
      <formula>SEARCH("no exposure",$K65)</formula>
    </cfRule>
  </conditionalFormatting>
  <conditionalFormatting sqref="L65">
    <cfRule type="cellIs" dxfId="572" priority="586" operator="equal">
      <formula>"Y"</formula>
    </cfRule>
    <cfRule type="cellIs" dxfId="571" priority="587" operator="equal">
      <formula>"N"</formula>
    </cfRule>
  </conditionalFormatting>
  <conditionalFormatting sqref="L65">
    <cfRule type="cellIs" dxfId="570" priority="584" operator="equal">
      <formula>"Y"</formula>
    </cfRule>
    <cfRule type="cellIs" dxfId="569" priority="585" operator="equal">
      <formula>"N"</formula>
    </cfRule>
  </conditionalFormatting>
  <conditionalFormatting sqref="O65">
    <cfRule type="expression" dxfId="568" priority="583">
      <formula>SEARCH("no exposure",$K65)</formula>
    </cfRule>
  </conditionalFormatting>
  <conditionalFormatting sqref="C66">
    <cfRule type="expression" dxfId="567" priority="582">
      <formula>SEARCH("no exposure",$K66)</formula>
    </cfRule>
  </conditionalFormatting>
  <conditionalFormatting sqref="E66">
    <cfRule type="expression" dxfId="566" priority="581">
      <formula>SEARCH("no exposure",$K66)</formula>
    </cfRule>
  </conditionalFormatting>
  <conditionalFormatting sqref="F66">
    <cfRule type="expression" dxfId="565" priority="580">
      <formula>SEARCH("no exposure",$K66)</formula>
    </cfRule>
  </conditionalFormatting>
  <conditionalFormatting sqref="J66">
    <cfRule type="expression" dxfId="564" priority="579">
      <formula>SEARCH("No exposure",$K66)</formula>
    </cfRule>
  </conditionalFormatting>
  <conditionalFormatting sqref="K66">
    <cfRule type="expression" dxfId="563" priority="578">
      <formula>SEARCH("no exposure",$K66)</formula>
    </cfRule>
  </conditionalFormatting>
  <conditionalFormatting sqref="L66">
    <cfRule type="cellIs" dxfId="562" priority="576" operator="equal">
      <formula>"Y"</formula>
    </cfRule>
    <cfRule type="cellIs" dxfId="561" priority="577" operator="equal">
      <formula>"N"</formula>
    </cfRule>
  </conditionalFormatting>
  <conditionalFormatting sqref="L66">
    <cfRule type="cellIs" dxfId="560" priority="574" operator="equal">
      <formula>"Y"</formula>
    </cfRule>
    <cfRule type="cellIs" dxfId="559" priority="575" operator="equal">
      <formula>"N"</formula>
    </cfRule>
  </conditionalFormatting>
  <conditionalFormatting sqref="M66:N66">
    <cfRule type="expression" dxfId="558" priority="573">
      <formula>SEARCH("no exposure",$K66)</formula>
    </cfRule>
  </conditionalFormatting>
  <conditionalFormatting sqref="O66">
    <cfRule type="expression" dxfId="557" priority="572">
      <formula>SEARCH("no exposure",$K66)</formula>
    </cfRule>
  </conditionalFormatting>
  <conditionalFormatting sqref="C67">
    <cfRule type="expression" dxfId="556" priority="571">
      <formula>SEARCH("no exposure",$K67)</formula>
    </cfRule>
  </conditionalFormatting>
  <conditionalFormatting sqref="E67">
    <cfRule type="expression" dxfId="555" priority="570">
      <formula>SEARCH("no exposure",$K67)</formula>
    </cfRule>
  </conditionalFormatting>
  <conditionalFormatting sqref="F67">
    <cfRule type="expression" dxfId="554" priority="569">
      <formula>SEARCH("no exposure",$K67)</formula>
    </cfRule>
  </conditionalFormatting>
  <conditionalFormatting sqref="J67">
    <cfRule type="expression" dxfId="553" priority="568">
      <formula>SEARCH("No exposure",$K67)</formula>
    </cfRule>
  </conditionalFormatting>
  <conditionalFormatting sqref="K67">
    <cfRule type="expression" dxfId="552" priority="567">
      <formula>SEARCH("no exposure",$K67)</formula>
    </cfRule>
  </conditionalFormatting>
  <conditionalFormatting sqref="L67">
    <cfRule type="cellIs" dxfId="551" priority="565" operator="equal">
      <formula>"Y"</formula>
    </cfRule>
    <cfRule type="cellIs" dxfId="550" priority="566" operator="equal">
      <formula>"N"</formula>
    </cfRule>
  </conditionalFormatting>
  <conditionalFormatting sqref="L67">
    <cfRule type="cellIs" dxfId="549" priority="563" operator="equal">
      <formula>"Y"</formula>
    </cfRule>
    <cfRule type="cellIs" dxfId="548" priority="564" operator="equal">
      <formula>"N"</formula>
    </cfRule>
  </conditionalFormatting>
  <conditionalFormatting sqref="O67">
    <cfRule type="expression" dxfId="547" priority="562">
      <formula>SEARCH("no exposure",$K67)</formula>
    </cfRule>
  </conditionalFormatting>
  <conditionalFormatting sqref="C65">
    <cfRule type="expression" dxfId="546" priority="561">
      <formula>SEARCH("no exposure",$K65)</formula>
    </cfRule>
  </conditionalFormatting>
  <conditionalFormatting sqref="C64">
    <cfRule type="expression" dxfId="545" priority="560">
      <formula>SEARCH("no exposure",$K64)</formula>
    </cfRule>
  </conditionalFormatting>
  <conditionalFormatting sqref="C68">
    <cfRule type="expression" dxfId="544" priority="559">
      <formula>SEARCH("no exposure",$K68)</formula>
    </cfRule>
  </conditionalFormatting>
  <conditionalFormatting sqref="E68">
    <cfRule type="expression" dxfId="543" priority="558">
      <formula>SEARCH("no exposure",$K68)</formula>
    </cfRule>
  </conditionalFormatting>
  <conditionalFormatting sqref="F68">
    <cfRule type="expression" dxfId="542" priority="557">
      <formula>SEARCH("no exposure",$K68)</formula>
    </cfRule>
  </conditionalFormatting>
  <conditionalFormatting sqref="J68">
    <cfRule type="expression" dxfId="541" priority="556">
      <formula>SEARCH("No exposure",$K68)</formula>
    </cfRule>
  </conditionalFormatting>
  <conditionalFormatting sqref="K68">
    <cfRule type="expression" dxfId="540" priority="555">
      <formula>SEARCH("no exposure",$K68)</formula>
    </cfRule>
  </conditionalFormatting>
  <conditionalFormatting sqref="L68">
    <cfRule type="cellIs" dxfId="539" priority="553" operator="equal">
      <formula>"Y"</formula>
    </cfRule>
    <cfRule type="cellIs" dxfId="538" priority="554" operator="equal">
      <formula>"N"</formula>
    </cfRule>
  </conditionalFormatting>
  <conditionalFormatting sqref="L68">
    <cfRule type="cellIs" dxfId="537" priority="551" operator="equal">
      <formula>"Y"</formula>
    </cfRule>
    <cfRule type="cellIs" dxfId="536" priority="552" operator="equal">
      <formula>"N"</formula>
    </cfRule>
  </conditionalFormatting>
  <conditionalFormatting sqref="O68">
    <cfRule type="expression" dxfId="535" priority="550">
      <formula>SEARCH("no exposure",$K68)</formula>
    </cfRule>
  </conditionalFormatting>
  <conditionalFormatting sqref="C69">
    <cfRule type="expression" dxfId="534" priority="549">
      <formula>SEARCH("no exposure",$K69)</formula>
    </cfRule>
  </conditionalFormatting>
  <conditionalFormatting sqref="E69">
    <cfRule type="expression" dxfId="533" priority="548">
      <formula>SEARCH("no exposure",$K69)</formula>
    </cfRule>
  </conditionalFormatting>
  <conditionalFormatting sqref="F69">
    <cfRule type="expression" dxfId="532" priority="547">
      <formula>SEARCH("no exposure",$K69)</formula>
    </cfRule>
  </conditionalFormatting>
  <conditionalFormatting sqref="J69">
    <cfRule type="expression" dxfId="531" priority="546">
      <formula>SEARCH("No exposure",$K69)</formula>
    </cfRule>
  </conditionalFormatting>
  <conditionalFormatting sqref="K69">
    <cfRule type="expression" dxfId="530" priority="545">
      <formula>SEARCH("no exposure",$K69)</formula>
    </cfRule>
  </conditionalFormatting>
  <conditionalFormatting sqref="L69">
    <cfRule type="cellIs" dxfId="529" priority="543" operator="equal">
      <formula>"Y"</formula>
    </cfRule>
    <cfRule type="cellIs" dxfId="528" priority="544" operator="equal">
      <formula>"N"</formula>
    </cfRule>
  </conditionalFormatting>
  <conditionalFormatting sqref="L69">
    <cfRule type="cellIs" dxfId="527" priority="541" operator="equal">
      <formula>"Y"</formula>
    </cfRule>
    <cfRule type="cellIs" dxfId="526" priority="542" operator="equal">
      <formula>"N"</formula>
    </cfRule>
  </conditionalFormatting>
  <conditionalFormatting sqref="O69">
    <cfRule type="expression" dxfId="525" priority="540">
      <formula>SEARCH("no exposure",$K69)</formula>
    </cfRule>
  </conditionalFormatting>
  <conditionalFormatting sqref="E70">
    <cfRule type="expression" dxfId="524" priority="539">
      <formula>SEARCH("no exposure",$K70)</formula>
    </cfRule>
  </conditionalFormatting>
  <conditionalFormatting sqref="F70">
    <cfRule type="expression" dxfId="523" priority="538">
      <formula>SEARCH("no exposure",$K70)</formula>
    </cfRule>
  </conditionalFormatting>
  <conditionalFormatting sqref="C70">
    <cfRule type="expression" dxfId="522" priority="537">
      <formula>SEARCH("no exposure",$K70)</formula>
    </cfRule>
  </conditionalFormatting>
  <conditionalFormatting sqref="J70">
    <cfRule type="expression" dxfId="521" priority="536">
      <formula>SEARCH("No exposure",$K70)</formula>
    </cfRule>
  </conditionalFormatting>
  <conditionalFormatting sqref="K70">
    <cfRule type="expression" dxfId="520" priority="535">
      <formula>SEARCH("no exposure",$K70)</formula>
    </cfRule>
  </conditionalFormatting>
  <conditionalFormatting sqref="L70">
    <cfRule type="cellIs" dxfId="519" priority="533" operator="equal">
      <formula>"Y"</formula>
    </cfRule>
    <cfRule type="cellIs" dxfId="518" priority="534" operator="equal">
      <formula>"N"</formula>
    </cfRule>
  </conditionalFormatting>
  <conditionalFormatting sqref="L70">
    <cfRule type="cellIs" dxfId="517" priority="531" operator="equal">
      <formula>"Y"</formula>
    </cfRule>
    <cfRule type="cellIs" dxfId="516" priority="532" operator="equal">
      <formula>"N"</formula>
    </cfRule>
  </conditionalFormatting>
  <conditionalFormatting sqref="M70">
    <cfRule type="expression" dxfId="515" priority="530">
      <formula>SEARCH("No exposure",$K70)</formula>
    </cfRule>
  </conditionalFormatting>
  <conditionalFormatting sqref="N70">
    <cfRule type="expression" dxfId="514" priority="529">
      <formula>SEARCH("No exposure",$K70)</formula>
    </cfRule>
  </conditionalFormatting>
  <conditionalFormatting sqref="O70">
    <cfRule type="expression" dxfId="513" priority="528">
      <formula>SEARCH("no exposure",$K70)</formula>
    </cfRule>
  </conditionalFormatting>
  <conditionalFormatting sqref="E71">
    <cfRule type="expression" dxfId="512" priority="526">
      <formula>SEARCH("no exposure",$K71)</formula>
    </cfRule>
  </conditionalFormatting>
  <conditionalFormatting sqref="F71">
    <cfRule type="expression" dxfId="511" priority="525">
      <formula>SEARCH("no exposure",$K71)</formula>
    </cfRule>
  </conditionalFormatting>
  <conditionalFormatting sqref="J71">
    <cfRule type="expression" dxfId="510" priority="524">
      <formula>SEARCH("No exposure",$K71)</formula>
    </cfRule>
  </conditionalFormatting>
  <conditionalFormatting sqref="K71">
    <cfRule type="expression" dxfId="509" priority="523">
      <formula>SEARCH("no exposure",$K71)</formula>
    </cfRule>
  </conditionalFormatting>
  <conditionalFormatting sqref="L71">
    <cfRule type="cellIs" dxfId="508" priority="521" operator="equal">
      <formula>"Y"</formula>
    </cfRule>
    <cfRule type="cellIs" dxfId="507" priority="522" operator="equal">
      <formula>"N"</formula>
    </cfRule>
  </conditionalFormatting>
  <conditionalFormatting sqref="L71">
    <cfRule type="cellIs" dxfId="506" priority="519" operator="equal">
      <formula>"Y"</formula>
    </cfRule>
    <cfRule type="cellIs" dxfId="505" priority="520" operator="equal">
      <formula>"N"</formula>
    </cfRule>
  </conditionalFormatting>
  <conditionalFormatting sqref="M71">
    <cfRule type="expression" dxfId="504" priority="518">
      <formula>SEARCH("No exposure",$K71)</formula>
    </cfRule>
  </conditionalFormatting>
  <conditionalFormatting sqref="N71">
    <cfRule type="expression" dxfId="503" priority="517">
      <formula>SEARCH("No exposure",$K71)</formula>
    </cfRule>
  </conditionalFormatting>
  <conditionalFormatting sqref="O71">
    <cfRule type="expression" dxfId="502" priority="516">
      <formula>SEARCH("no exposure",$K71)</formula>
    </cfRule>
  </conditionalFormatting>
  <conditionalFormatting sqref="C71">
    <cfRule type="expression" dxfId="501" priority="515">
      <formula>SEARCH("no exposure",$K71)</formula>
    </cfRule>
  </conditionalFormatting>
  <conditionalFormatting sqref="E72">
    <cfRule type="expression" dxfId="500" priority="513">
      <formula>SEARCH("no exposure",$K72)</formula>
    </cfRule>
  </conditionalFormatting>
  <conditionalFormatting sqref="F72">
    <cfRule type="expression" dxfId="499" priority="512">
      <formula>SEARCH("no exposure",$K72)</formula>
    </cfRule>
  </conditionalFormatting>
  <conditionalFormatting sqref="J72">
    <cfRule type="expression" dxfId="498" priority="511">
      <formula>SEARCH("No exposure",$K72)</formula>
    </cfRule>
  </conditionalFormatting>
  <conditionalFormatting sqref="K72">
    <cfRule type="expression" dxfId="497" priority="510">
      <formula>SEARCH("no exposure",$K72)</formula>
    </cfRule>
  </conditionalFormatting>
  <conditionalFormatting sqref="L72">
    <cfRule type="cellIs" dxfId="496" priority="508" operator="equal">
      <formula>"Y"</formula>
    </cfRule>
    <cfRule type="cellIs" dxfId="495" priority="509" operator="equal">
      <formula>"N"</formula>
    </cfRule>
  </conditionalFormatting>
  <conditionalFormatting sqref="L72">
    <cfRule type="cellIs" dxfId="494" priority="506" operator="equal">
      <formula>"Y"</formula>
    </cfRule>
    <cfRule type="cellIs" dxfId="493" priority="507" operator="equal">
      <formula>"N"</formula>
    </cfRule>
  </conditionalFormatting>
  <conditionalFormatting sqref="O72">
    <cfRule type="expression" dxfId="492" priority="505">
      <formula>SEARCH("no exposure",$K72)</formula>
    </cfRule>
  </conditionalFormatting>
  <conditionalFormatting sqref="C72">
    <cfRule type="expression" dxfId="491" priority="504">
      <formula>SEARCH("no exposure",$K72)</formula>
    </cfRule>
  </conditionalFormatting>
  <conditionalFormatting sqref="C73">
    <cfRule type="expression" dxfId="490" priority="503">
      <formula>SEARCH("no exposure",$K73)</formula>
    </cfRule>
  </conditionalFormatting>
  <conditionalFormatting sqref="E73">
    <cfRule type="expression" dxfId="489" priority="502">
      <formula>SEARCH("no exposure",$K73)</formula>
    </cfRule>
  </conditionalFormatting>
  <conditionalFormatting sqref="F73">
    <cfRule type="expression" dxfId="488" priority="501">
      <formula>SEARCH("no exposure",$K73)</formula>
    </cfRule>
  </conditionalFormatting>
  <conditionalFormatting sqref="J73">
    <cfRule type="expression" dxfId="487" priority="500">
      <formula>SEARCH("No exposure",$K73)</formula>
    </cfRule>
  </conditionalFormatting>
  <conditionalFormatting sqref="K73">
    <cfRule type="expression" dxfId="486" priority="499">
      <formula>SEARCH("no exposure",$K73)</formula>
    </cfRule>
  </conditionalFormatting>
  <conditionalFormatting sqref="L73">
    <cfRule type="cellIs" dxfId="485" priority="497" operator="equal">
      <formula>"Y"</formula>
    </cfRule>
    <cfRule type="cellIs" dxfId="484" priority="498" operator="equal">
      <formula>"N"</formula>
    </cfRule>
  </conditionalFormatting>
  <conditionalFormatting sqref="L73">
    <cfRule type="cellIs" dxfId="483" priority="495" operator="equal">
      <formula>"Y"</formula>
    </cfRule>
    <cfRule type="cellIs" dxfId="482" priority="496" operator="equal">
      <formula>"N"</formula>
    </cfRule>
  </conditionalFormatting>
  <conditionalFormatting sqref="O73">
    <cfRule type="expression" dxfId="481" priority="494">
      <formula>SEARCH("no exposure",$K73)</formula>
    </cfRule>
  </conditionalFormatting>
  <conditionalFormatting sqref="C74">
    <cfRule type="expression" dxfId="480" priority="492">
      <formula>SEARCH("no exposure",$K74)</formula>
    </cfRule>
  </conditionalFormatting>
  <conditionalFormatting sqref="E74">
    <cfRule type="expression" dxfId="479" priority="491">
      <formula>SEARCH("no exposure",$K74)</formula>
    </cfRule>
  </conditionalFormatting>
  <conditionalFormatting sqref="F74">
    <cfRule type="expression" dxfId="478" priority="490">
      <formula>SEARCH("no exposure",$K74)</formula>
    </cfRule>
  </conditionalFormatting>
  <conditionalFormatting sqref="J74">
    <cfRule type="expression" dxfId="477" priority="489">
      <formula>SEARCH("No exposure",$K74)</formula>
    </cfRule>
  </conditionalFormatting>
  <conditionalFormatting sqref="K74">
    <cfRule type="expression" dxfId="476" priority="488">
      <formula>SEARCH("no exposure",$K74)</formula>
    </cfRule>
  </conditionalFormatting>
  <conditionalFormatting sqref="L74">
    <cfRule type="cellIs" dxfId="475" priority="486" operator="equal">
      <formula>"Y"</formula>
    </cfRule>
    <cfRule type="cellIs" dxfId="474" priority="487" operator="equal">
      <formula>"N"</formula>
    </cfRule>
  </conditionalFormatting>
  <conditionalFormatting sqref="L74">
    <cfRule type="cellIs" dxfId="473" priority="484" operator="equal">
      <formula>"Y"</formula>
    </cfRule>
    <cfRule type="cellIs" dxfId="472" priority="485" operator="equal">
      <formula>"N"</formula>
    </cfRule>
  </conditionalFormatting>
  <conditionalFormatting sqref="O74">
    <cfRule type="expression" dxfId="471" priority="483">
      <formula>SEARCH("no exposure",$K74)</formula>
    </cfRule>
  </conditionalFormatting>
  <conditionalFormatting sqref="E75">
    <cfRule type="expression" dxfId="470" priority="481">
      <formula>SEARCH("no exposure",$K75)</formula>
    </cfRule>
  </conditionalFormatting>
  <conditionalFormatting sqref="F75">
    <cfRule type="expression" dxfId="469" priority="480">
      <formula>SEARCH("no exposure",$K75)</formula>
    </cfRule>
  </conditionalFormatting>
  <conditionalFormatting sqref="J75">
    <cfRule type="expression" dxfId="468" priority="479">
      <formula>SEARCH("No exposure",$K75)</formula>
    </cfRule>
  </conditionalFormatting>
  <conditionalFormatting sqref="K75">
    <cfRule type="expression" dxfId="467" priority="478">
      <formula>SEARCH("no exposure",$K75)</formula>
    </cfRule>
  </conditionalFormatting>
  <conditionalFormatting sqref="L75">
    <cfRule type="cellIs" dxfId="466" priority="476" operator="equal">
      <formula>"Y"</formula>
    </cfRule>
    <cfRule type="cellIs" dxfId="465" priority="477" operator="equal">
      <formula>"N"</formula>
    </cfRule>
  </conditionalFormatting>
  <conditionalFormatting sqref="L75">
    <cfRule type="cellIs" dxfId="464" priority="474" operator="equal">
      <formula>"Y"</formula>
    </cfRule>
    <cfRule type="cellIs" dxfId="463" priority="475" operator="equal">
      <formula>"N"</formula>
    </cfRule>
  </conditionalFormatting>
  <conditionalFormatting sqref="M75">
    <cfRule type="expression" dxfId="462" priority="473">
      <formula>SEARCH("No exposure",$K75)</formula>
    </cfRule>
  </conditionalFormatting>
  <conditionalFormatting sqref="N75">
    <cfRule type="expression" dxfId="461" priority="472">
      <formula>SEARCH("No exposure",$K75)</formula>
    </cfRule>
  </conditionalFormatting>
  <conditionalFormatting sqref="O75">
    <cfRule type="expression" dxfId="460" priority="471">
      <formula>SEARCH("no exposure",$K75)</formula>
    </cfRule>
  </conditionalFormatting>
  <conditionalFormatting sqref="C75">
    <cfRule type="expression" dxfId="459" priority="470">
      <formula>SEARCH("no exposure",$K75)</formula>
    </cfRule>
  </conditionalFormatting>
  <conditionalFormatting sqref="D47">
    <cfRule type="expression" dxfId="458" priority="469">
      <formula>SEARCH("No exposure",$K47)</formula>
    </cfRule>
  </conditionalFormatting>
  <conditionalFormatting sqref="C76">
    <cfRule type="expression" dxfId="457" priority="468">
      <formula>SEARCH("no exposure",$K76)</formula>
    </cfRule>
  </conditionalFormatting>
  <conditionalFormatting sqref="E76">
    <cfRule type="expression" dxfId="456" priority="467">
      <formula>SEARCH("no exposure",$K76)</formula>
    </cfRule>
  </conditionalFormatting>
  <conditionalFormatting sqref="F76">
    <cfRule type="expression" dxfId="455" priority="466">
      <formula>SEARCH("no exposure",$K76)</formula>
    </cfRule>
  </conditionalFormatting>
  <conditionalFormatting sqref="J76">
    <cfRule type="expression" dxfId="454" priority="465">
      <formula>SEARCH("No exposure",$K76)</formula>
    </cfRule>
  </conditionalFormatting>
  <conditionalFormatting sqref="L76">
    <cfRule type="cellIs" dxfId="453" priority="462" operator="equal">
      <formula>"Y"</formula>
    </cfRule>
    <cfRule type="cellIs" dxfId="452" priority="463" operator="equal">
      <formula>"N"</formula>
    </cfRule>
  </conditionalFormatting>
  <conditionalFormatting sqref="L76">
    <cfRule type="cellIs" dxfId="451" priority="460" operator="equal">
      <formula>"Y"</formula>
    </cfRule>
    <cfRule type="cellIs" dxfId="450" priority="461" operator="equal">
      <formula>"N"</formula>
    </cfRule>
  </conditionalFormatting>
  <conditionalFormatting sqref="M76">
    <cfRule type="expression" dxfId="449" priority="459">
      <formula>SEARCH("No exposure",$K76)</formula>
    </cfRule>
  </conditionalFormatting>
  <conditionalFormatting sqref="N76">
    <cfRule type="expression" dxfId="448" priority="458">
      <formula>SEARCH("No exposure",$K76)</formula>
    </cfRule>
  </conditionalFormatting>
  <conditionalFormatting sqref="O76">
    <cfRule type="expression" dxfId="447" priority="457">
      <formula>SEARCH("no exposure",$K76)</formula>
    </cfRule>
  </conditionalFormatting>
  <conditionalFormatting sqref="C77">
    <cfRule type="expression" dxfId="446" priority="456">
      <formula>SEARCH("no exposure",$K77)</formula>
    </cfRule>
  </conditionalFormatting>
  <conditionalFormatting sqref="E77">
    <cfRule type="expression" dxfId="445" priority="455">
      <formula>SEARCH("no exposure",$K77)</formula>
    </cfRule>
  </conditionalFormatting>
  <conditionalFormatting sqref="F77">
    <cfRule type="expression" dxfId="444" priority="454">
      <formula>SEARCH("no exposure",$K77)</formula>
    </cfRule>
  </conditionalFormatting>
  <conditionalFormatting sqref="J77">
    <cfRule type="expression" dxfId="443" priority="453">
      <formula>SEARCH("No exposure",$K77)</formula>
    </cfRule>
  </conditionalFormatting>
  <conditionalFormatting sqref="K77">
    <cfRule type="expression" dxfId="442" priority="452">
      <formula>SEARCH("no exposure",$K77)</formula>
    </cfRule>
  </conditionalFormatting>
  <conditionalFormatting sqref="L77">
    <cfRule type="cellIs" dxfId="441" priority="450" operator="equal">
      <formula>"Y"</formula>
    </cfRule>
    <cfRule type="cellIs" dxfId="440" priority="451" operator="equal">
      <formula>"N"</formula>
    </cfRule>
  </conditionalFormatting>
  <conditionalFormatting sqref="L77">
    <cfRule type="cellIs" dxfId="439" priority="448" operator="equal">
      <formula>"Y"</formula>
    </cfRule>
    <cfRule type="cellIs" dxfId="438" priority="449" operator="equal">
      <formula>"N"</formula>
    </cfRule>
  </conditionalFormatting>
  <conditionalFormatting sqref="M77">
    <cfRule type="expression" dxfId="437" priority="447">
      <formula>SEARCH("No exposure",$K77)</formula>
    </cfRule>
  </conditionalFormatting>
  <conditionalFormatting sqref="N77">
    <cfRule type="expression" dxfId="436" priority="446">
      <formula>SEARCH("No exposure",$K77)</formula>
    </cfRule>
  </conditionalFormatting>
  <conditionalFormatting sqref="O77">
    <cfRule type="expression" dxfId="435" priority="445">
      <formula>SEARCH("no exposure",$K77)</formula>
    </cfRule>
  </conditionalFormatting>
  <conditionalFormatting sqref="E78">
    <cfRule type="expression" dxfId="434" priority="444">
      <formula>SEARCH("no exposure",$K78)</formula>
    </cfRule>
  </conditionalFormatting>
  <conditionalFormatting sqref="F78">
    <cfRule type="expression" dxfId="433" priority="443">
      <formula>SEARCH("no exposure",$K78)</formula>
    </cfRule>
  </conditionalFormatting>
  <conditionalFormatting sqref="J78">
    <cfRule type="expression" dxfId="432" priority="442">
      <formula>SEARCH("No exposure",$K78)</formula>
    </cfRule>
  </conditionalFormatting>
  <conditionalFormatting sqref="K78">
    <cfRule type="expression" dxfId="431" priority="441">
      <formula>SEARCH("no exposure",$K78)</formula>
    </cfRule>
  </conditionalFormatting>
  <conditionalFormatting sqref="L78">
    <cfRule type="cellIs" dxfId="430" priority="439" operator="equal">
      <formula>"Y"</formula>
    </cfRule>
    <cfRule type="cellIs" dxfId="429" priority="440" operator="equal">
      <formula>"N"</formula>
    </cfRule>
  </conditionalFormatting>
  <conditionalFormatting sqref="L78">
    <cfRule type="cellIs" dxfId="428" priority="437" operator="equal">
      <formula>"Y"</formula>
    </cfRule>
    <cfRule type="cellIs" dxfId="427" priority="438" operator="equal">
      <formula>"N"</formula>
    </cfRule>
  </conditionalFormatting>
  <conditionalFormatting sqref="M78">
    <cfRule type="expression" dxfId="426" priority="436">
      <formula>SEARCH("No exposure",$K78)</formula>
    </cfRule>
  </conditionalFormatting>
  <conditionalFormatting sqref="N78">
    <cfRule type="expression" dxfId="425" priority="435">
      <formula>SEARCH("No exposure",$K78)</formula>
    </cfRule>
  </conditionalFormatting>
  <conditionalFormatting sqref="O78">
    <cfRule type="expression" dxfId="424" priority="434">
      <formula>SEARCH("no exposure",$K78)</formula>
    </cfRule>
  </conditionalFormatting>
  <conditionalFormatting sqref="E79">
    <cfRule type="expression" dxfId="423" priority="433">
      <formula>SEARCH("no exposure",$K79)</formula>
    </cfRule>
  </conditionalFormatting>
  <conditionalFormatting sqref="F79">
    <cfRule type="expression" dxfId="422" priority="432">
      <formula>SEARCH("no exposure",$K79)</formula>
    </cfRule>
  </conditionalFormatting>
  <conditionalFormatting sqref="J79">
    <cfRule type="expression" dxfId="421" priority="431">
      <formula>SEARCH("No exposure",$K79)</formula>
    </cfRule>
  </conditionalFormatting>
  <conditionalFormatting sqref="K79">
    <cfRule type="expression" dxfId="420" priority="430">
      <formula>SEARCH("no exposure",$K79)</formula>
    </cfRule>
  </conditionalFormatting>
  <conditionalFormatting sqref="L79">
    <cfRule type="cellIs" dxfId="419" priority="428" operator="equal">
      <formula>"Y"</formula>
    </cfRule>
    <cfRule type="cellIs" dxfId="418" priority="429" operator="equal">
      <formula>"N"</formula>
    </cfRule>
  </conditionalFormatting>
  <conditionalFormatting sqref="L79">
    <cfRule type="cellIs" dxfId="417" priority="426" operator="equal">
      <formula>"Y"</formula>
    </cfRule>
    <cfRule type="cellIs" dxfId="416" priority="427" operator="equal">
      <formula>"N"</formula>
    </cfRule>
  </conditionalFormatting>
  <conditionalFormatting sqref="M79">
    <cfRule type="expression" dxfId="415" priority="425">
      <formula>SEARCH("No exposure",$K79)</formula>
    </cfRule>
  </conditionalFormatting>
  <conditionalFormatting sqref="N79">
    <cfRule type="expression" dxfId="414" priority="424">
      <formula>SEARCH("No exposure",$K79)</formula>
    </cfRule>
  </conditionalFormatting>
  <conditionalFormatting sqref="O79">
    <cfRule type="expression" dxfId="413" priority="423">
      <formula>SEARCH("no exposure",$K79)</formula>
    </cfRule>
  </conditionalFormatting>
  <conditionalFormatting sqref="E80">
    <cfRule type="expression" dxfId="412" priority="422">
      <formula>SEARCH("no exposure",$K80)</formula>
    </cfRule>
  </conditionalFormatting>
  <conditionalFormatting sqref="F80">
    <cfRule type="expression" dxfId="411" priority="421">
      <formula>SEARCH("no exposure",$K80)</formula>
    </cfRule>
  </conditionalFormatting>
  <conditionalFormatting sqref="J80">
    <cfRule type="expression" dxfId="410" priority="420">
      <formula>SEARCH("No exposure",$K80)</formula>
    </cfRule>
  </conditionalFormatting>
  <conditionalFormatting sqref="K80">
    <cfRule type="expression" dxfId="409" priority="419">
      <formula>SEARCH("no exposure",$K80)</formula>
    </cfRule>
  </conditionalFormatting>
  <conditionalFormatting sqref="L80">
    <cfRule type="cellIs" dxfId="408" priority="417" operator="equal">
      <formula>"Y"</formula>
    </cfRule>
    <cfRule type="cellIs" dxfId="407" priority="418" operator="equal">
      <formula>"N"</formula>
    </cfRule>
  </conditionalFormatting>
  <conditionalFormatting sqref="L80">
    <cfRule type="cellIs" dxfId="406" priority="415" operator="equal">
      <formula>"Y"</formula>
    </cfRule>
    <cfRule type="cellIs" dxfId="405" priority="416" operator="equal">
      <formula>"N"</formula>
    </cfRule>
  </conditionalFormatting>
  <conditionalFormatting sqref="M80">
    <cfRule type="expression" dxfId="404" priority="414">
      <formula>SEARCH("No exposure",$K80)</formula>
    </cfRule>
  </conditionalFormatting>
  <conditionalFormatting sqref="O80">
    <cfRule type="expression" dxfId="403" priority="413">
      <formula>SEARCH("no exposure",$K80)</formula>
    </cfRule>
  </conditionalFormatting>
  <conditionalFormatting sqref="D12">
    <cfRule type="expression" dxfId="402" priority="412">
      <formula>SEARCH("No exposure",$K12)</formula>
    </cfRule>
  </conditionalFormatting>
  <conditionalFormatting sqref="D17">
    <cfRule type="expression" dxfId="401" priority="411">
      <formula>SEARCH("no exposure",$K17)</formula>
    </cfRule>
  </conditionalFormatting>
  <conditionalFormatting sqref="D17">
    <cfRule type="expression" dxfId="400" priority="410">
      <formula>SEARCH("No Exposure",$K17)</formula>
    </cfRule>
  </conditionalFormatting>
  <conditionalFormatting sqref="D17">
    <cfRule type="expression" dxfId="399" priority="409">
      <formula>SEARCH("No exposure",$K17)</formula>
    </cfRule>
  </conditionalFormatting>
  <conditionalFormatting sqref="D47">
    <cfRule type="expression" dxfId="398" priority="408">
      <formula>SEARCH("No exposure",$K47)</formula>
    </cfRule>
  </conditionalFormatting>
  <conditionalFormatting sqref="E81">
    <cfRule type="expression" dxfId="397" priority="407">
      <formula>SEARCH("no exposure",$K81)</formula>
    </cfRule>
  </conditionalFormatting>
  <conditionalFormatting sqref="F81">
    <cfRule type="expression" dxfId="396" priority="406">
      <formula>SEARCH("no exposure",$K81)</formula>
    </cfRule>
  </conditionalFormatting>
  <conditionalFormatting sqref="J81">
    <cfRule type="expression" dxfId="395" priority="405">
      <formula>SEARCH("No exposure",$K81)</formula>
    </cfRule>
  </conditionalFormatting>
  <conditionalFormatting sqref="K81">
    <cfRule type="expression" dxfId="394" priority="404">
      <formula>SEARCH("no exposure",$K81)</formula>
    </cfRule>
  </conditionalFormatting>
  <conditionalFormatting sqref="L81">
    <cfRule type="cellIs" dxfId="393" priority="402" operator="equal">
      <formula>"Y"</formula>
    </cfRule>
    <cfRule type="cellIs" dxfId="392" priority="403" operator="equal">
      <formula>"N"</formula>
    </cfRule>
  </conditionalFormatting>
  <conditionalFormatting sqref="L81">
    <cfRule type="cellIs" dxfId="391" priority="400" operator="equal">
      <formula>"Y"</formula>
    </cfRule>
    <cfRule type="cellIs" dxfId="390" priority="401" operator="equal">
      <formula>"N"</formula>
    </cfRule>
  </conditionalFormatting>
  <conditionalFormatting sqref="M81">
    <cfRule type="expression" dxfId="389" priority="399">
      <formula>SEARCH("No exposure",$K81)</formula>
    </cfRule>
  </conditionalFormatting>
  <conditionalFormatting sqref="N81">
    <cfRule type="expression" dxfId="388" priority="398">
      <formula>SEARCH("No exposure",$K81)</formula>
    </cfRule>
  </conditionalFormatting>
  <conditionalFormatting sqref="O81">
    <cfRule type="expression" dxfId="387" priority="397">
      <formula>SEARCH("no exposure",$K81)</formula>
    </cfRule>
  </conditionalFormatting>
  <conditionalFormatting sqref="E82">
    <cfRule type="expression" dxfId="386" priority="396">
      <formula>SEARCH("no exposure",$K82)</formula>
    </cfRule>
  </conditionalFormatting>
  <conditionalFormatting sqref="F82">
    <cfRule type="expression" dxfId="385" priority="395">
      <formula>SEARCH("no exposure",$K82)</formula>
    </cfRule>
  </conditionalFormatting>
  <conditionalFormatting sqref="J82">
    <cfRule type="expression" dxfId="384" priority="394">
      <formula>SEARCH("No exposure",$K82)</formula>
    </cfRule>
  </conditionalFormatting>
  <conditionalFormatting sqref="L82">
    <cfRule type="cellIs" dxfId="383" priority="391" operator="equal">
      <formula>"Y"</formula>
    </cfRule>
    <cfRule type="cellIs" dxfId="382" priority="392" operator="equal">
      <formula>"N"</formula>
    </cfRule>
  </conditionalFormatting>
  <conditionalFormatting sqref="L82">
    <cfRule type="cellIs" dxfId="381" priority="389" operator="equal">
      <formula>"Y"</formula>
    </cfRule>
    <cfRule type="cellIs" dxfId="380" priority="390" operator="equal">
      <formula>"N"</formula>
    </cfRule>
  </conditionalFormatting>
  <conditionalFormatting sqref="M82">
    <cfRule type="expression" dxfId="379" priority="388">
      <formula>SEARCH("No exposure",$K82)</formula>
    </cfRule>
  </conditionalFormatting>
  <conditionalFormatting sqref="N82">
    <cfRule type="expression" dxfId="378" priority="387">
      <formula>SEARCH("No exposure",$K82)</formula>
    </cfRule>
  </conditionalFormatting>
  <conditionalFormatting sqref="O82">
    <cfRule type="expression" dxfId="377" priority="385">
      <formula>SEARCH("no exposure",$K82)</formula>
    </cfRule>
  </conditionalFormatting>
  <conditionalFormatting sqref="E83">
    <cfRule type="expression" dxfId="376" priority="384">
      <formula>SEARCH("no exposure",$K83)</formula>
    </cfRule>
  </conditionalFormatting>
  <conditionalFormatting sqref="F83">
    <cfRule type="expression" dxfId="375" priority="383">
      <formula>SEARCH("no exposure",$K83)</formula>
    </cfRule>
  </conditionalFormatting>
  <conditionalFormatting sqref="J83">
    <cfRule type="expression" dxfId="374" priority="382">
      <formula>SEARCH("No exposure",$K83)</formula>
    </cfRule>
  </conditionalFormatting>
  <conditionalFormatting sqref="K83">
    <cfRule type="expression" dxfId="373" priority="381">
      <formula>SEARCH("no exposure",$K83)</formula>
    </cfRule>
  </conditionalFormatting>
  <conditionalFormatting sqref="L83">
    <cfRule type="cellIs" dxfId="372" priority="379" operator="equal">
      <formula>"Y"</formula>
    </cfRule>
    <cfRule type="cellIs" dxfId="371" priority="380" operator="equal">
      <formula>"N"</formula>
    </cfRule>
  </conditionalFormatting>
  <conditionalFormatting sqref="L83">
    <cfRule type="cellIs" dxfId="370" priority="377" operator="equal">
      <formula>"Y"</formula>
    </cfRule>
    <cfRule type="cellIs" dxfId="369" priority="378" operator="equal">
      <formula>"N"</formula>
    </cfRule>
  </conditionalFormatting>
  <conditionalFormatting sqref="M83">
    <cfRule type="expression" dxfId="368" priority="376">
      <formula>SEARCH("No exposure",$K83)</formula>
    </cfRule>
  </conditionalFormatting>
  <conditionalFormatting sqref="N83">
    <cfRule type="expression" dxfId="367" priority="375">
      <formula>SEARCH("No exposure",$K83)</formula>
    </cfRule>
  </conditionalFormatting>
  <conditionalFormatting sqref="O83">
    <cfRule type="expression" dxfId="366" priority="374">
      <formula>SEARCH("no exposure",$K83)</formula>
    </cfRule>
  </conditionalFormatting>
  <conditionalFormatting sqref="E84">
    <cfRule type="expression" dxfId="365" priority="373">
      <formula>SEARCH("no exposure",$K84)</formula>
    </cfRule>
  </conditionalFormatting>
  <conditionalFormatting sqref="F84">
    <cfRule type="expression" dxfId="364" priority="372">
      <formula>SEARCH("no exposure",$K84)</formula>
    </cfRule>
  </conditionalFormatting>
  <conditionalFormatting sqref="J84">
    <cfRule type="expression" dxfId="363" priority="371">
      <formula>SEARCH("No exposure",$K84)</formula>
    </cfRule>
  </conditionalFormatting>
  <conditionalFormatting sqref="K84">
    <cfRule type="expression" dxfId="362" priority="370">
      <formula>SEARCH("no exposure",$K84)</formula>
    </cfRule>
  </conditionalFormatting>
  <conditionalFormatting sqref="L84">
    <cfRule type="cellIs" dxfId="361" priority="368" operator="equal">
      <formula>"Y"</formula>
    </cfRule>
    <cfRule type="cellIs" dxfId="360" priority="369" operator="equal">
      <formula>"N"</formula>
    </cfRule>
  </conditionalFormatting>
  <conditionalFormatting sqref="L84">
    <cfRule type="cellIs" dxfId="359" priority="366" operator="equal">
      <formula>"Y"</formula>
    </cfRule>
    <cfRule type="cellIs" dxfId="358" priority="367" operator="equal">
      <formula>"N"</formula>
    </cfRule>
  </conditionalFormatting>
  <conditionalFormatting sqref="M84">
    <cfRule type="expression" dxfId="357" priority="365">
      <formula>SEARCH("No exposure",$K84)</formula>
    </cfRule>
  </conditionalFormatting>
  <conditionalFormatting sqref="N84">
    <cfRule type="expression" dxfId="356" priority="364">
      <formula>SEARCH("No exposure",$K84)</formula>
    </cfRule>
  </conditionalFormatting>
  <conditionalFormatting sqref="O84">
    <cfRule type="expression" dxfId="355" priority="363">
      <formula>SEARCH("no exposure",$K84)</formula>
    </cfRule>
  </conditionalFormatting>
  <conditionalFormatting sqref="E85">
    <cfRule type="expression" dxfId="354" priority="362">
      <formula>SEARCH("no exposure",$K85)</formula>
    </cfRule>
  </conditionalFormatting>
  <conditionalFormatting sqref="F85">
    <cfRule type="expression" dxfId="353" priority="361">
      <formula>SEARCH("no exposure",$K85)</formula>
    </cfRule>
  </conditionalFormatting>
  <conditionalFormatting sqref="J85">
    <cfRule type="expression" dxfId="352" priority="360">
      <formula>SEARCH("No exposure",$K85)</formula>
    </cfRule>
  </conditionalFormatting>
  <conditionalFormatting sqref="K85">
    <cfRule type="expression" dxfId="351" priority="359">
      <formula>SEARCH("no exposure",$K85)</formula>
    </cfRule>
  </conditionalFormatting>
  <conditionalFormatting sqref="L85">
    <cfRule type="cellIs" dxfId="350" priority="357" operator="equal">
      <formula>"Y"</formula>
    </cfRule>
    <cfRule type="cellIs" dxfId="349" priority="358" operator="equal">
      <formula>"N"</formula>
    </cfRule>
  </conditionalFormatting>
  <conditionalFormatting sqref="L85">
    <cfRule type="cellIs" dxfId="348" priority="355" operator="equal">
      <formula>"Y"</formula>
    </cfRule>
    <cfRule type="cellIs" dxfId="347" priority="356" operator="equal">
      <formula>"N"</formula>
    </cfRule>
  </conditionalFormatting>
  <conditionalFormatting sqref="M85">
    <cfRule type="expression" dxfId="346" priority="354">
      <formula>SEARCH("No exposure",$K85)</formula>
    </cfRule>
  </conditionalFormatting>
  <conditionalFormatting sqref="N85">
    <cfRule type="expression" dxfId="345" priority="353">
      <formula>SEARCH("No exposure",$K85)</formula>
    </cfRule>
  </conditionalFormatting>
  <conditionalFormatting sqref="O85">
    <cfRule type="expression" dxfId="344" priority="352">
      <formula>SEARCH("no exposure",$K85)</formula>
    </cfRule>
  </conditionalFormatting>
  <conditionalFormatting sqref="E86">
    <cfRule type="expression" dxfId="343" priority="351">
      <formula>SEARCH("no exposure",$K86)</formula>
    </cfRule>
  </conditionalFormatting>
  <conditionalFormatting sqref="F86">
    <cfRule type="expression" dxfId="342" priority="350">
      <formula>SEARCH("no exposure",$K86)</formula>
    </cfRule>
  </conditionalFormatting>
  <conditionalFormatting sqref="J86">
    <cfRule type="expression" dxfId="341" priority="349">
      <formula>SEARCH("No exposure",$K86)</formula>
    </cfRule>
  </conditionalFormatting>
  <conditionalFormatting sqref="K86">
    <cfRule type="expression" dxfId="340" priority="348">
      <formula>SEARCH("no exposure",$K86)</formula>
    </cfRule>
  </conditionalFormatting>
  <conditionalFormatting sqref="L86">
    <cfRule type="cellIs" dxfId="339" priority="346" operator="equal">
      <formula>"Y"</formula>
    </cfRule>
    <cfRule type="cellIs" dxfId="338" priority="347" operator="equal">
      <formula>"N"</formula>
    </cfRule>
  </conditionalFormatting>
  <conditionalFormatting sqref="L86">
    <cfRule type="cellIs" dxfId="337" priority="344" operator="equal">
      <formula>"Y"</formula>
    </cfRule>
    <cfRule type="cellIs" dxfId="336" priority="345" operator="equal">
      <formula>"N"</formula>
    </cfRule>
  </conditionalFormatting>
  <conditionalFormatting sqref="O86">
    <cfRule type="expression" dxfId="335" priority="343">
      <formula>SEARCH("no exposure",$K86)</formula>
    </cfRule>
  </conditionalFormatting>
  <conditionalFormatting sqref="E87">
    <cfRule type="expression" dxfId="334" priority="342">
      <formula>SEARCH("no exposure",$K87)</formula>
    </cfRule>
  </conditionalFormatting>
  <conditionalFormatting sqref="F87">
    <cfRule type="expression" dxfId="333" priority="341">
      <formula>SEARCH("no exposure",$K87)</formula>
    </cfRule>
  </conditionalFormatting>
  <conditionalFormatting sqref="J87">
    <cfRule type="expression" dxfId="332" priority="340">
      <formula>SEARCH("No exposure",$K87)</formula>
    </cfRule>
  </conditionalFormatting>
  <conditionalFormatting sqref="K87">
    <cfRule type="expression" dxfId="331" priority="339">
      <formula>SEARCH("no exposure",$K87)</formula>
    </cfRule>
  </conditionalFormatting>
  <conditionalFormatting sqref="L87">
    <cfRule type="cellIs" dxfId="330" priority="337" operator="equal">
      <formula>"Y"</formula>
    </cfRule>
    <cfRule type="cellIs" dxfId="329" priority="338" operator="equal">
      <formula>"N"</formula>
    </cfRule>
  </conditionalFormatting>
  <conditionalFormatting sqref="L87">
    <cfRule type="cellIs" dxfId="328" priority="335" operator="equal">
      <formula>"Y"</formula>
    </cfRule>
    <cfRule type="cellIs" dxfId="327" priority="336" operator="equal">
      <formula>"N"</formula>
    </cfRule>
  </conditionalFormatting>
  <conditionalFormatting sqref="O87">
    <cfRule type="expression" dxfId="326" priority="334">
      <formula>SEARCH("no exposure",$K87)</formula>
    </cfRule>
  </conditionalFormatting>
  <conditionalFormatting sqref="M87">
    <cfRule type="expression" dxfId="325" priority="333">
      <formula>SEARCH("no exposure",$K87)</formula>
    </cfRule>
  </conditionalFormatting>
  <conditionalFormatting sqref="N87">
    <cfRule type="expression" dxfId="324" priority="332">
      <formula>SEARCH("no exposure",$K87)</formula>
    </cfRule>
  </conditionalFormatting>
  <conditionalFormatting sqref="E88">
    <cfRule type="expression" dxfId="323" priority="331">
      <formula>SEARCH("no exposure",$K88)</formula>
    </cfRule>
  </conditionalFormatting>
  <conditionalFormatting sqref="F88">
    <cfRule type="expression" dxfId="322" priority="330">
      <formula>SEARCH("no exposure",$K88)</formula>
    </cfRule>
  </conditionalFormatting>
  <conditionalFormatting sqref="J88">
    <cfRule type="expression" dxfId="321" priority="329">
      <formula>SEARCH("No exposure",$K88)</formula>
    </cfRule>
  </conditionalFormatting>
  <conditionalFormatting sqref="K88">
    <cfRule type="expression" dxfId="320" priority="328">
      <formula>SEARCH("no exposure",$K88)</formula>
    </cfRule>
  </conditionalFormatting>
  <conditionalFormatting sqref="L88">
    <cfRule type="cellIs" dxfId="319" priority="326" operator="equal">
      <formula>"Y"</formula>
    </cfRule>
    <cfRule type="cellIs" dxfId="318" priority="327" operator="equal">
      <formula>"N"</formula>
    </cfRule>
  </conditionalFormatting>
  <conditionalFormatting sqref="L88">
    <cfRule type="cellIs" dxfId="317" priority="324" operator="equal">
      <formula>"Y"</formula>
    </cfRule>
    <cfRule type="cellIs" dxfId="316" priority="325" operator="equal">
      <formula>"N"</formula>
    </cfRule>
  </conditionalFormatting>
  <conditionalFormatting sqref="M88">
    <cfRule type="expression" dxfId="315" priority="323">
      <formula>SEARCH("no exposure",$K88)</formula>
    </cfRule>
  </conditionalFormatting>
  <conditionalFormatting sqref="O88">
    <cfRule type="expression" dxfId="314" priority="321">
      <formula>SEARCH("no exposure",$K88)</formula>
    </cfRule>
  </conditionalFormatting>
  <conditionalFormatting sqref="N88">
    <cfRule type="expression" dxfId="313" priority="320">
      <formula>SEARCH("no exposure",$K88)</formula>
    </cfRule>
  </conditionalFormatting>
  <conditionalFormatting sqref="E89">
    <cfRule type="expression" dxfId="312" priority="319">
      <formula>SEARCH("no exposure",$K89)</formula>
    </cfRule>
  </conditionalFormatting>
  <conditionalFormatting sqref="F89">
    <cfRule type="expression" dxfId="311" priority="318">
      <formula>SEARCH("no exposure",$K89)</formula>
    </cfRule>
  </conditionalFormatting>
  <conditionalFormatting sqref="J89">
    <cfRule type="expression" dxfId="310" priority="317">
      <formula>SEARCH("No exposure",$K89)</formula>
    </cfRule>
  </conditionalFormatting>
  <conditionalFormatting sqref="K89">
    <cfRule type="expression" dxfId="309" priority="316">
      <formula>SEARCH("no exposure",$K89)</formula>
    </cfRule>
  </conditionalFormatting>
  <conditionalFormatting sqref="L89">
    <cfRule type="cellIs" dxfId="308" priority="314" operator="equal">
      <formula>"Y"</formula>
    </cfRule>
    <cfRule type="cellIs" dxfId="307" priority="315" operator="equal">
      <formula>"N"</formula>
    </cfRule>
  </conditionalFormatting>
  <conditionalFormatting sqref="L89">
    <cfRule type="cellIs" dxfId="306" priority="312" operator="equal">
      <formula>"Y"</formula>
    </cfRule>
    <cfRule type="cellIs" dxfId="305" priority="313" operator="equal">
      <formula>"N"</formula>
    </cfRule>
  </conditionalFormatting>
  <conditionalFormatting sqref="O89">
    <cfRule type="expression" dxfId="304" priority="311">
      <formula>SEARCH("no exposure",$K89)</formula>
    </cfRule>
  </conditionalFormatting>
  <conditionalFormatting sqref="E90">
    <cfRule type="expression" dxfId="303" priority="310">
      <formula>SEARCH("no exposure",$K90)</formula>
    </cfRule>
  </conditionalFormatting>
  <conditionalFormatting sqref="F90">
    <cfRule type="expression" dxfId="302" priority="309">
      <formula>SEARCH("no exposure",$K90)</formula>
    </cfRule>
  </conditionalFormatting>
  <conditionalFormatting sqref="J90">
    <cfRule type="expression" dxfId="301" priority="308">
      <formula>SEARCH("No exposure",$K90)</formula>
    </cfRule>
  </conditionalFormatting>
  <conditionalFormatting sqref="K90">
    <cfRule type="expression" dxfId="300" priority="307">
      <formula>SEARCH("no exposure",$K90)</formula>
    </cfRule>
  </conditionalFormatting>
  <conditionalFormatting sqref="L90">
    <cfRule type="cellIs" dxfId="299" priority="305" operator="equal">
      <formula>"Y"</formula>
    </cfRule>
    <cfRule type="cellIs" dxfId="298" priority="306" operator="equal">
      <formula>"N"</formula>
    </cfRule>
  </conditionalFormatting>
  <conditionalFormatting sqref="L90">
    <cfRule type="cellIs" dxfId="297" priority="303" operator="equal">
      <formula>"Y"</formula>
    </cfRule>
    <cfRule type="cellIs" dxfId="296" priority="304" operator="equal">
      <formula>"N"</formula>
    </cfRule>
  </conditionalFormatting>
  <conditionalFormatting sqref="M90">
    <cfRule type="expression" dxfId="295" priority="302">
      <formula>SEARCH("no exposure",$K90)</formula>
    </cfRule>
  </conditionalFormatting>
  <conditionalFormatting sqref="N90">
    <cfRule type="expression" dxfId="294" priority="301">
      <formula>SEARCH("no exposure",$K90)</formula>
    </cfRule>
  </conditionalFormatting>
  <conditionalFormatting sqref="O90">
    <cfRule type="expression" dxfId="293" priority="300">
      <formula>SEARCH("no exposure",$K90)</formula>
    </cfRule>
  </conditionalFormatting>
  <conditionalFormatting sqref="E91">
    <cfRule type="expression" dxfId="292" priority="299">
      <formula>SEARCH("no exposure",$K91)</formula>
    </cfRule>
  </conditionalFormatting>
  <conditionalFormatting sqref="F91">
    <cfRule type="expression" dxfId="291" priority="298">
      <formula>SEARCH("no exposure",$K91)</formula>
    </cfRule>
  </conditionalFormatting>
  <conditionalFormatting sqref="J91">
    <cfRule type="expression" dxfId="290" priority="297">
      <formula>SEARCH("No exposure",$K91)</formula>
    </cfRule>
  </conditionalFormatting>
  <conditionalFormatting sqref="K91">
    <cfRule type="expression" dxfId="289" priority="296">
      <formula>SEARCH("no exposure",$K91)</formula>
    </cfRule>
  </conditionalFormatting>
  <conditionalFormatting sqref="L91">
    <cfRule type="cellIs" dxfId="288" priority="294" operator="equal">
      <formula>"Y"</formula>
    </cfRule>
    <cfRule type="cellIs" dxfId="287" priority="295" operator="equal">
      <formula>"N"</formula>
    </cfRule>
  </conditionalFormatting>
  <conditionalFormatting sqref="L91">
    <cfRule type="cellIs" dxfId="286" priority="292" operator="equal">
      <formula>"Y"</formula>
    </cfRule>
    <cfRule type="cellIs" dxfId="285" priority="293" operator="equal">
      <formula>"N"</formula>
    </cfRule>
  </conditionalFormatting>
  <conditionalFormatting sqref="O91">
    <cfRule type="expression" dxfId="284" priority="291">
      <formula>SEARCH("no exposure",$K91)</formula>
    </cfRule>
  </conditionalFormatting>
  <conditionalFormatting sqref="M91">
    <cfRule type="expression" dxfId="283" priority="290">
      <formula>SEARCH("no exposure",$K91)</formula>
    </cfRule>
  </conditionalFormatting>
  <conditionalFormatting sqref="N91">
    <cfRule type="expression" dxfId="282" priority="289">
      <formula>SEARCH("no exposure",$K91)</formula>
    </cfRule>
  </conditionalFormatting>
  <conditionalFormatting sqref="E92">
    <cfRule type="expression" dxfId="281" priority="288">
      <formula>SEARCH("no exposure",$K92)</formula>
    </cfRule>
  </conditionalFormatting>
  <conditionalFormatting sqref="F92">
    <cfRule type="expression" dxfId="280" priority="287">
      <formula>SEARCH("no exposure",$K92)</formula>
    </cfRule>
  </conditionalFormatting>
  <conditionalFormatting sqref="J92">
    <cfRule type="expression" dxfId="279" priority="286">
      <formula>SEARCH("No exposure",$K92)</formula>
    </cfRule>
  </conditionalFormatting>
  <conditionalFormatting sqref="K92">
    <cfRule type="expression" dxfId="278" priority="285">
      <formula>SEARCH("no exposure",$K92)</formula>
    </cfRule>
  </conditionalFormatting>
  <conditionalFormatting sqref="L92">
    <cfRule type="cellIs" dxfId="277" priority="283" operator="equal">
      <formula>"Y"</formula>
    </cfRule>
    <cfRule type="cellIs" dxfId="276" priority="284" operator="equal">
      <formula>"N"</formula>
    </cfRule>
  </conditionalFormatting>
  <conditionalFormatting sqref="L92">
    <cfRule type="cellIs" dxfId="275" priority="281" operator="equal">
      <formula>"Y"</formula>
    </cfRule>
    <cfRule type="cellIs" dxfId="274" priority="282" operator="equal">
      <formula>"N"</formula>
    </cfRule>
  </conditionalFormatting>
  <conditionalFormatting sqref="M92">
    <cfRule type="expression" dxfId="273" priority="280">
      <formula>SEARCH("no exposure",$K92)</formula>
    </cfRule>
  </conditionalFormatting>
  <conditionalFormatting sqref="N92">
    <cfRule type="expression" dxfId="272" priority="279">
      <formula>SEARCH("no exposure",$K92)</formula>
    </cfRule>
  </conditionalFormatting>
  <conditionalFormatting sqref="O92">
    <cfRule type="expression" dxfId="271" priority="278">
      <formula>SEARCH("no exposure",$K92)</formula>
    </cfRule>
  </conditionalFormatting>
  <conditionalFormatting sqref="E93">
    <cfRule type="expression" dxfId="270" priority="277">
      <formula>SEARCH("no exposure",$K93)</formula>
    </cfRule>
  </conditionalFormatting>
  <conditionalFormatting sqref="F93">
    <cfRule type="expression" dxfId="269" priority="276">
      <formula>SEARCH("no exposure",$K93)</formula>
    </cfRule>
  </conditionalFormatting>
  <conditionalFormatting sqref="J93">
    <cfRule type="expression" dxfId="268" priority="275">
      <formula>SEARCH("No exposure",$K93)</formula>
    </cfRule>
  </conditionalFormatting>
  <conditionalFormatting sqref="K93">
    <cfRule type="expression" dxfId="267" priority="274">
      <formula>SEARCH("no exposure",$K93)</formula>
    </cfRule>
  </conditionalFormatting>
  <conditionalFormatting sqref="L93">
    <cfRule type="cellIs" dxfId="266" priority="272" operator="equal">
      <formula>"Y"</formula>
    </cfRule>
    <cfRule type="cellIs" dxfId="265" priority="273" operator="equal">
      <formula>"N"</formula>
    </cfRule>
  </conditionalFormatting>
  <conditionalFormatting sqref="L93">
    <cfRule type="cellIs" dxfId="264" priority="270" operator="equal">
      <formula>"Y"</formula>
    </cfRule>
    <cfRule type="cellIs" dxfId="263" priority="271" operator="equal">
      <formula>"N"</formula>
    </cfRule>
  </conditionalFormatting>
  <conditionalFormatting sqref="M93">
    <cfRule type="expression" dxfId="262" priority="269">
      <formula>SEARCH("no exposure",$K93)</formula>
    </cfRule>
  </conditionalFormatting>
  <conditionalFormatting sqref="N93">
    <cfRule type="expression" dxfId="261" priority="268">
      <formula>SEARCH("no exposure",$K93)</formula>
    </cfRule>
  </conditionalFormatting>
  <conditionalFormatting sqref="O93">
    <cfRule type="expression" dxfId="260" priority="267">
      <formula>SEARCH("no exposure",$K93)</formula>
    </cfRule>
  </conditionalFormatting>
  <conditionalFormatting sqref="E94">
    <cfRule type="expression" dxfId="259" priority="266">
      <formula>SEARCH("no exposure",$K94)</formula>
    </cfRule>
  </conditionalFormatting>
  <conditionalFormatting sqref="F94">
    <cfRule type="expression" dxfId="258" priority="265">
      <formula>SEARCH("no exposure",$K94)</formula>
    </cfRule>
  </conditionalFormatting>
  <conditionalFormatting sqref="J94">
    <cfRule type="expression" dxfId="257" priority="264">
      <formula>SEARCH("No exposure",$K94)</formula>
    </cfRule>
  </conditionalFormatting>
  <conditionalFormatting sqref="K94">
    <cfRule type="expression" dxfId="256" priority="263">
      <formula>SEARCH("no exposure",$K94)</formula>
    </cfRule>
  </conditionalFormatting>
  <conditionalFormatting sqref="L94">
    <cfRule type="cellIs" dxfId="255" priority="261" operator="equal">
      <formula>"Y"</formula>
    </cfRule>
    <cfRule type="cellIs" dxfId="254" priority="262" operator="equal">
      <formula>"N"</formula>
    </cfRule>
  </conditionalFormatting>
  <conditionalFormatting sqref="L94">
    <cfRule type="cellIs" dxfId="253" priority="259" operator="equal">
      <formula>"Y"</formula>
    </cfRule>
    <cfRule type="cellIs" dxfId="252" priority="260" operator="equal">
      <formula>"N"</formula>
    </cfRule>
  </conditionalFormatting>
  <conditionalFormatting sqref="M94">
    <cfRule type="expression" dxfId="251" priority="258">
      <formula>SEARCH("no exposure",$K94)</formula>
    </cfRule>
  </conditionalFormatting>
  <conditionalFormatting sqref="N94">
    <cfRule type="expression" dxfId="250" priority="257">
      <formula>SEARCH("no exposure",$K94)</formula>
    </cfRule>
  </conditionalFormatting>
  <conditionalFormatting sqref="O94">
    <cfRule type="expression" dxfId="249" priority="255">
      <formula>SEARCH("no exposure",$K94)</formula>
    </cfRule>
  </conditionalFormatting>
  <conditionalFormatting sqref="E95">
    <cfRule type="expression" dxfId="248" priority="254">
      <formula>SEARCH("no exposure",$K95)</formula>
    </cfRule>
  </conditionalFormatting>
  <conditionalFormatting sqref="F95">
    <cfRule type="expression" dxfId="247" priority="253">
      <formula>SEARCH("no exposure",$K95)</formula>
    </cfRule>
  </conditionalFormatting>
  <conditionalFormatting sqref="J95">
    <cfRule type="expression" dxfId="246" priority="252">
      <formula>SEARCH("No exposure",$K95)</formula>
    </cfRule>
  </conditionalFormatting>
  <conditionalFormatting sqref="K95">
    <cfRule type="expression" dxfId="245" priority="251">
      <formula>SEARCH("no exposure",$K95)</formula>
    </cfRule>
  </conditionalFormatting>
  <conditionalFormatting sqref="L95">
    <cfRule type="cellIs" dxfId="244" priority="249" operator="equal">
      <formula>"Y"</formula>
    </cfRule>
    <cfRule type="cellIs" dxfId="243" priority="250" operator="equal">
      <formula>"N"</formula>
    </cfRule>
  </conditionalFormatting>
  <conditionalFormatting sqref="L95">
    <cfRule type="cellIs" dxfId="242" priority="247" operator="equal">
      <formula>"Y"</formula>
    </cfRule>
    <cfRule type="cellIs" dxfId="241" priority="248" operator="equal">
      <formula>"N"</formula>
    </cfRule>
  </conditionalFormatting>
  <conditionalFormatting sqref="M95">
    <cfRule type="expression" dxfId="240" priority="246">
      <formula>SEARCH("no exposure",$K95)</formula>
    </cfRule>
  </conditionalFormatting>
  <conditionalFormatting sqref="N95">
    <cfRule type="expression" dxfId="239" priority="245">
      <formula>SEARCH("no exposure",$K95)</formula>
    </cfRule>
  </conditionalFormatting>
  <conditionalFormatting sqref="O95">
    <cfRule type="expression" dxfId="238" priority="244">
      <formula>SEARCH("no exposure",$K95)</formula>
    </cfRule>
  </conditionalFormatting>
  <conditionalFormatting sqref="E96">
    <cfRule type="expression" dxfId="237" priority="243">
      <formula>SEARCH("no exposure",$K96)</formula>
    </cfRule>
  </conditionalFormatting>
  <conditionalFormatting sqref="F96">
    <cfRule type="expression" dxfId="236" priority="242">
      <formula>SEARCH("no exposure",$K96)</formula>
    </cfRule>
  </conditionalFormatting>
  <conditionalFormatting sqref="J96">
    <cfRule type="expression" dxfId="235" priority="241">
      <formula>SEARCH("No exposure",$K96)</formula>
    </cfRule>
  </conditionalFormatting>
  <conditionalFormatting sqref="K96">
    <cfRule type="expression" dxfId="234" priority="240">
      <formula>SEARCH("no exposure",$K96)</formula>
    </cfRule>
  </conditionalFormatting>
  <conditionalFormatting sqref="L96">
    <cfRule type="cellIs" dxfId="233" priority="238" operator="equal">
      <formula>"Y"</formula>
    </cfRule>
    <cfRule type="cellIs" dxfId="232" priority="239" operator="equal">
      <formula>"N"</formula>
    </cfRule>
  </conditionalFormatting>
  <conditionalFormatting sqref="L96">
    <cfRule type="cellIs" dxfId="231" priority="236" operator="equal">
      <formula>"Y"</formula>
    </cfRule>
    <cfRule type="cellIs" dxfId="230" priority="237" operator="equal">
      <formula>"N"</formula>
    </cfRule>
  </conditionalFormatting>
  <conditionalFormatting sqref="M96">
    <cfRule type="expression" dxfId="229" priority="235">
      <formula>SEARCH("no exposure",$K96)</formula>
    </cfRule>
  </conditionalFormatting>
  <conditionalFormatting sqref="N96">
    <cfRule type="expression" dxfId="228" priority="234">
      <formula>SEARCH("no exposure",$K96)</formula>
    </cfRule>
  </conditionalFormatting>
  <conditionalFormatting sqref="O96">
    <cfRule type="expression" dxfId="227" priority="233">
      <formula>SEARCH("no exposure",$K96)</formula>
    </cfRule>
  </conditionalFormatting>
  <conditionalFormatting sqref="D3">
    <cfRule type="expression" dxfId="226" priority="232">
      <formula>SEARCH("No exposure",$K3)</formula>
    </cfRule>
  </conditionalFormatting>
  <conditionalFormatting sqref="E97">
    <cfRule type="expression" dxfId="225" priority="231">
      <formula>SEARCH("no exposure",$K97)</formula>
    </cfRule>
  </conditionalFormatting>
  <conditionalFormatting sqref="F97">
    <cfRule type="expression" dxfId="224" priority="230">
      <formula>SEARCH("no exposure",$K97)</formula>
    </cfRule>
  </conditionalFormatting>
  <conditionalFormatting sqref="J97">
    <cfRule type="expression" dxfId="223" priority="229">
      <formula>SEARCH("No exposure",$K97)</formula>
    </cfRule>
  </conditionalFormatting>
  <conditionalFormatting sqref="K97">
    <cfRule type="expression" dxfId="222" priority="228">
      <formula>SEARCH("no exposure",$K97)</formula>
    </cfRule>
  </conditionalFormatting>
  <conditionalFormatting sqref="L97">
    <cfRule type="cellIs" dxfId="221" priority="226" operator="equal">
      <formula>"Y"</formula>
    </cfRule>
    <cfRule type="cellIs" dxfId="220" priority="227" operator="equal">
      <formula>"N"</formula>
    </cfRule>
  </conditionalFormatting>
  <conditionalFormatting sqref="L97">
    <cfRule type="cellIs" dxfId="219" priority="224" operator="equal">
      <formula>"Y"</formula>
    </cfRule>
    <cfRule type="cellIs" dxfId="218" priority="225" operator="equal">
      <formula>"N"</formula>
    </cfRule>
  </conditionalFormatting>
  <conditionalFormatting sqref="M97">
    <cfRule type="expression" dxfId="217" priority="223">
      <formula>SEARCH("no exposure",$K97)</formula>
    </cfRule>
  </conditionalFormatting>
  <conditionalFormatting sqref="N97">
    <cfRule type="expression" dxfId="216" priority="222">
      <formula>SEARCH("no exposure",$K97)</formula>
    </cfRule>
  </conditionalFormatting>
  <conditionalFormatting sqref="O97">
    <cfRule type="expression" dxfId="215" priority="221">
      <formula>SEARCH("no exposure",$K97)</formula>
    </cfRule>
  </conditionalFormatting>
  <conditionalFormatting sqref="E98">
    <cfRule type="expression" dxfId="214" priority="220">
      <formula>SEARCH("no exposure",$K98)</formula>
    </cfRule>
  </conditionalFormatting>
  <conditionalFormatting sqref="F98">
    <cfRule type="expression" dxfId="213" priority="219">
      <formula>SEARCH("no exposure",$K98)</formula>
    </cfRule>
  </conditionalFormatting>
  <conditionalFormatting sqref="J98">
    <cfRule type="expression" dxfId="212" priority="218">
      <formula>SEARCH("No exposure",$K98)</formula>
    </cfRule>
  </conditionalFormatting>
  <conditionalFormatting sqref="K98">
    <cfRule type="expression" dxfId="211" priority="217">
      <formula>SEARCH("no exposure",$K98)</formula>
    </cfRule>
  </conditionalFormatting>
  <conditionalFormatting sqref="L98">
    <cfRule type="cellIs" dxfId="210" priority="215" operator="equal">
      <formula>"Y"</formula>
    </cfRule>
    <cfRule type="cellIs" dxfId="209" priority="216" operator="equal">
      <formula>"N"</formula>
    </cfRule>
  </conditionalFormatting>
  <conditionalFormatting sqref="L98">
    <cfRule type="cellIs" dxfId="208" priority="213" operator="equal">
      <formula>"Y"</formula>
    </cfRule>
    <cfRule type="cellIs" dxfId="207" priority="214" operator="equal">
      <formula>"N"</formula>
    </cfRule>
  </conditionalFormatting>
  <conditionalFormatting sqref="M98">
    <cfRule type="expression" dxfId="206" priority="212">
      <formula>SEARCH("no exposure",$K98)</formula>
    </cfRule>
  </conditionalFormatting>
  <conditionalFormatting sqref="N98">
    <cfRule type="expression" dxfId="205" priority="211">
      <formula>SEARCH("no exposure",$K98)</formula>
    </cfRule>
  </conditionalFormatting>
  <conditionalFormatting sqref="O98">
    <cfRule type="expression" dxfId="204" priority="210">
      <formula>SEARCH("no exposure",$K98)</formula>
    </cfRule>
  </conditionalFormatting>
  <conditionalFormatting sqref="C22">
    <cfRule type="expression" dxfId="203" priority="209">
      <formula>SEARCH("no exposure",$K22)</formula>
    </cfRule>
  </conditionalFormatting>
  <conditionalFormatting sqref="E99">
    <cfRule type="expression" dxfId="202" priority="208">
      <formula>SEARCH("no exposure",$K99)</formula>
    </cfRule>
  </conditionalFormatting>
  <conditionalFormatting sqref="F99">
    <cfRule type="expression" dxfId="201" priority="207">
      <formula>SEARCH("no exposure",$K99)</formula>
    </cfRule>
  </conditionalFormatting>
  <conditionalFormatting sqref="J99">
    <cfRule type="expression" dxfId="200" priority="206">
      <formula>SEARCH("No exposure",$K99)</formula>
    </cfRule>
  </conditionalFormatting>
  <conditionalFormatting sqref="K99">
    <cfRule type="expression" dxfId="199" priority="205">
      <formula>SEARCH("no exposure",$K99)</formula>
    </cfRule>
  </conditionalFormatting>
  <conditionalFormatting sqref="L99">
    <cfRule type="cellIs" dxfId="198" priority="203" operator="equal">
      <formula>"Y"</formula>
    </cfRule>
    <cfRule type="cellIs" dxfId="197" priority="204" operator="equal">
      <formula>"N"</formula>
    </cfRule>
  </conditionalFormatting>
  <conditionalFormatting sqref="L99">
    <cfRule type="cellIs" dxfId="196" priority="201" operator="equal">
      <formula>"Y"</formula>
    </cfRule>
    <cfRule type="cellIs" dxfId="195" priority="202" operator="equal">
      <formula>"N"</formula>
    </cfRule>
  </conditionalFormatting>
  <conditionalFormatting sqref="M99">
    <cfRule type="expression" dxfId="194" priority="200">
      <formula>SEARCH("no exposure",$K99)</formula>
    </cfRule>
  </conditionalFormatting>
  <conditionalFormatting sqref="N99">
    <cfRule type="expression" dxfId="193" priority="199">
      <formula>SEARCH("no exposure",$K99)</formula>
    </cfRule>
  </conditionalFormatting>
  <conditionalFormatting sqref="O99">
    <cfRule type="expression" dxfId="192" priority="198">
      <formula>SEARCH("no exposure",$K99)</formula>
    </cfRule>
  </conditionalFormatting>
  <conditionalFormatting sqref="E100">
    <cfRule type="expression" dxfId="191" priority="197">
      <formula>SEARCH("no exposure",$K100)</formula>
    </cfRule>
  </conditionalFormatting>
  <conditionalFormatting sqref="F100">
    <cfRule type="expression" dxfId="190" priority="196">
      <formula>SEARCH("no exposure",$K100)</formula>
    </cfRule>
  </conditionalFormatting>
  <conditionalFormatting sqref="J100">
    <cfRule type="expression" dxfId="189" priority="195">
      <formula>SEARCH("No exposure",$K100)</formula>
    </cfRule>
  </conditionalFormatting>
  <conditionalFormatting sqref="K100">
    <cfRule type="expression" dxfId="188" priority="194">
      <formula>SEARCH("no exposure",$K100)</formula>
    </cfRule>
  </conditionalFormatting>
  <conditionalFormatting sqref="L100">
    <cfRule type="cellIs" dxfId="187" priority="192" operator="equal">
      <formula>"Y"</formula>
    </cfRule>
    <cfRule type="cellIs" dxfId="186" priority="193" operator="equal">
      <formula>"N"</formula>
    </cfRule>
  </conditionalFormatting>
  <conditionalFormatting sqref="L100">
    <cfRule type="cellIs" dxfId="185" priority="190" operator="equal">
      <formula>"Y"</formula>
    </cfRule>
    <cfRule type="cellIs" dxfId="184" priority="191" operator="equal">
      <formula>"N"</formula>
    </cfRule>
  </conditionalFormatting>
  <conditionalFormatting sqref="M100">
    <cfRule type="expression" dxfId="183" priority="189">
      <formula>SEARCH("no exposure",$K100)</formula>
    </cfRule>
  </conditionalFormatting>
  <conditionalFormatting sqref="N100">
    <cfRule type="expression" dxfId="182" priority="188">
      <formula>SEARCH("no exposure",$K100)</formula>
    </cfRule>
  </conditionalFormatting>
  <conditionalFormatting sqref="O100">
    <cfRule type="expression" dxfId="181" priority="187">
      <formula>SEARCH("no exposure",$K100)</formula>
    </cfRule>
  </conditionalFormatting>
  <conditionalFormatting sqref="E101">
    <cfRule type="expression" dxfId="180" priority="186">
      <formula>SEARCH("no exposure",$K101)</formula>
    </cfRule>
  </conditionalFormatting>
  <conditionalFormatting sqref="F101">
    <cfRule type="expression" dxfId="179" priority="185">
      <formula>SEARCH("no exposure",$K101)</formula>
    </cfRule>
  </conditionalFormatting>
  <conditionalFormatting sqref="J101">
    <cfRule type="expression" dxfId="178" priority="184">
      <formula>SEARCH("No exposure",$K101)</formula>
    </cfRule>
  </conditionalFormatting>
  <conditionalFormatting sqref="K101">
    <cfRule type="expression" dxfId="177" priority="183">
      <formula>SEARCH("no exposure",$K101)</formula>
    </cfRule>
  </conditionalFormatting>
  <conditionalFormatting sqref="L101">
    <cfRule type="cellIs" dxfId="176" priority="181" operator="equal">
      <formula>"Y"</formula>
    </cfRule>
    <cfRule type="cellIs" dxfId="175" priority="182" operator="equal">
      <formula>"N"</formula>
    </cfRule>
  </conditionalFormatting>
  <conditionalFormatting sqref="L101">
    <cfRule type="cellIs" dxfId="174" priority="179" operator="equal">
      <formula>"Y"</formula>
    </cfRule>
    <cfRule type="cellIs" dxfId="173" priority="180" operator="equal">
      <formula>"N"</formula>
    </cfRule>
  </conditionalFormatting>
  <conditionalFormatting sqref="M101">
    <cfRule type="expression" dxfId="172" priority="178">
      <formula>SEARCH("no exposure",$K101)</formula>
    </cfRule>
  </conditionalFormatting>
  <conditionalFormatting sqref="N101">
    <cfRule type="expression" dxfId="171" priority="177">
      <formula>SEARCH("no exposure",$K101)</formula>
    </cfRule>
  </conditionalFormatting>
  <conditionalFormatting sqref="O101">
    <cfRule type="expression" dxfId="170" priority="176">
      <formula>SEARCH("no exposure",$K101)</formula>
    </cfRule>
  </conditionalFormatting>
  <conditionalFormatting sqref="D13">
    <cfRule type="expression" dxfId="169" priority="175">
      <formula>SEARCH("No Exposure",$K13)</formula>
    </cfRule>
  </conditionalFormatting>
  <conditionalFormatting sqref="D13">
    <cfRule type="expression" dxfId="168" priority="174">
      <formula>SEARCH("No exposure",$K13)</formula>
    </cfRule>
  </conditionalFormatting>
  <conditionalFormatting sqref="E102">
    <cfRule type="expression" dxfId="167" priority="173">
      <formula>SEARCH("no exposure",$K102)</formula>
    </cfRule>
  </conditionalFormatting>
  <conditionalFormatting sqref="F102">
    <cfRule type="expression" dxfId="166" priority="172">
      <formula>SEARCH("no exposure",$K102)</formula>
    </cfRule>
  </conditionalFormatting>
  <conditionalFormatting sqref="J102">
    <cfRule type="expression" dxfId="165" priority="171">
      <formula>SEARCH("No exposure",$K102)</formula>
    </cfRule>
  </conditionalFormatting>
  <conditionalFormatting sqref="K102">
    <cfRule type="expression" dxfId="164" priority="170">
      <formula>SEARCH("no exposure",$K102)</formula>
    </cfRule>
  </conditionalFormatting>
  <conditionalFormatting sqref="L102">
    <cfRule type="cellIs" dxfId="163" priority="168" operator="equal">
      <formula>"Y"</formula>
    </cfRule>
    <cfRule type="cellIs" dxfId="162" priority="169" operator="equal">
      <formula>"N"</formula>
    </cfRule>
  </conditionalFormatting>
  <conditionalFormatting sqref="L102">
    <cfRule type="cellIs" dxfId="161" priority="166" operator="equal">
      <formula>"Y"</formula>
    </cfRule>
    <cfRule type="cellIs" dxfId="160" priority="167" operator="equal">
      <formula>"N"</formula>
    </cfRule>
  </conditionalFormatting>
  <conditionalFormatting sqref="M102">
    <cfRule type="expression" dxfId="159" priority="165">
      <formula>SEARCH("no exposure",$K102)</formula>
    </cfRule>
  </conditionalFormatting>
  <conditionalFormatting sqref="N102">
    <cfRule type="expression" dxfId="158" priority="164">
      <formula>SEARCH("no exposure",$K102)</formula>
    </cfRule>
  </conditionalFormatting>
  <conditionalFormatting sqref="O102">
    <cfRule type="expression" dxfId="157" priority="163">
      <formula>SEARCH("no exposure",$K102)</formula>
    </cfRule>
  </conditionalFormatting>
  <conditionalFormatting sqref="E103">
    <cfRule type="expression" dxfId="156" priority="162">
      <formula>SEARCH("no exposure",$K103)</formula>
    </cfRule>
  </conditionalFormatting>
  <conditionalFormatting sqref="F103">
    <cfRule type="expression" dxfId="155" priority="161">
      <formula>SEARCH("no exposure",$K103)</formula>
    </cfRule>
  </conditionalFormatting>
  <conditionalFormatting sqref="J103">
    <cfRule type="expression" dxfId="154" priority="160">
      <formula>SEARCH("No exposure",$K103)</formula>
    </cfRule>
  </conditionalFormatting>
  <conditionalFormatting sqref="K103">
    <cfRule type="expression" dxfId="153" priority="159">
      <formula>SEARCH("no exposure",$K103)</formula>
    </cfRule>
  </conditionalFormatting>
  <conditionalFormatting sqref="L103">
    <cfRule type="cellIs" dxfId="152" priority="157" operator="equal">
      <formula>"Y"</formula>
    </cfRule>
    <cfRule type="cellIs" dxfId="151" priority="158" operator="equal">
      <formula>"N"</formula>
    </cfRule>
  </conditionalFormatting>
  <conditionalFormatting sqref="L103">
    <cfRule type="cellIs" dxfId="150" priority="155" operator="equal">
      <formula>"Y"</formula>
    </cfRule>
    <cfRule type="cellIs" dxfId="149" priority="156" operator="equal">
      <formula>"N"</formula>
    </cfRule>
  </conditionalFormatting>
  <conditionalFormatting sqref="M103">
    <cfRule type="expression" dxfId="148" priority="154">
      <formula>SEARCH("no exposure",$K103)</formula>
    </cfRule>
  </conditionalFormatting>
  <conditionalFormatting sqref="N103">
    <cfRule type="expression" dxfId="147" priority="153">
      <formula>SEARCH("no exposure",$K103)</formula>
    </cfRule>
  </conditionalFormatting>
  <conditionalFormatting sqref="O103">
    <cfRule type="expression" dxfId="146" priority="152">
      <formula>SEARCH("no exposure",$K103)</formula>
    </cfRule>
  </conditionalFormatting>
  <conditionalFormatting sqref="E104">
    <cfRule type="expression" dxfId="145" priority="151">
      <formula>SEARCH("no exposure",$K104)</formula>
    </cfRule>
  </conditionalFormatting>
  <conditionalFormatting sqref="F104">
    <cfRule type="expression" dxfId="144" priority="150">
      <formula>SEARCH("no exposure",$K104)</formula>
    </cfRule>
  </conditionalFormatting>
  <conditionalFormatting sqref="J104">
    <cfRule type="expression" dxfId="143" priority="149">
      <formula>SEARCH("No exposure",$K104)</formula>
    </cfRule>
  </conditionalFormatting>
  <conditionalFormatting sqref="K104">
    <cfRule type="expression" dxfId="142" priority="148">
      <formula>SEARCH("no exposure",$K104)</formula>
    </cfRule>
  </conditionalFormatting>
  <conditionalFormatting sqref="L104">
    <cfRule type="cellIs" dxfId="141" priority="146" operator="equal">
      <formula>"Y"</formula>
    </cfRule>
    <cfRule type="cellIs" dxfId="140" priority="147" operator="equal">
      <formula>"N"</formula>
    </cfRule>
  </conditionalFormatting>
  <conditionalFormatting sqref="L104">
    <cfRule type="cellIs" dxfId="139" priority="144" operator="equal">
      <formula>"Y"</formula>
    </cfRule>
    <cfRule type="cellIs" dxfId="138" priority="145" operator="equal">
      <formula>"N"</formula>
    </cfRule>
  </conditionalFormatting>
  <conditionalFormatting sqref="M104">
    <cfRule type="expression" dxfId="137" priority="143">
      <formula>SEARCH("no exposure",$K104)</formula>
    </cfRule>
  </conditionalFormatting>
  <conditionalFormatting sqref="N104">
    <cfRule type="expression" dxfId="136" priority="142">
      <formula>SEARCH("no exposure",$K104)</formula>
    </cfRule>
  </conditionalFormatting>
  <conditionalFormatting sqref="O104">
    <cfRule type="expression" dxfId="135" priority="141">
      <formula>SEARCH("no exposure",$K104)</formula>
    </cfRule>
  </conditionalFormatting>
  <conditionalFormatting sqref="E105">
    <cfRule type="expression" dxfId="134" priority="140">
      <formula>SEARCH("no exposure",$K105)</formula>
    </cfRule>
  </conditionalFormatting>
  <conditionalFormatting sqref="F105">
    <cfRule type="expression" dxfId="133" priority="139">
      <formula>SEARCH("no exposure",$K105)</formula>
    </cfRule>
  </conditionalFormatting>
  <conditionalFormatting sqref="J105">
    <cfRule type="expression" dxfId="132" priority="138">
      <formula>SEARCH("No exposure",$K105)</formula>
    </cfRule>
  </conditionalFormatting>
  <conditionalFormatting sqref="K105">
    <cfRule type="expression" dxfId="131" priority="137">
      <formula>SEARCH("no exposure",$K105)</formula>
    </cfRule>
  </conditionalFormatting>
  <conditionalFormatting sqref="L105">
    <cfRule type="cellIs" dxfId="130" priority="135" operator="equal">
      <formula>"Y"</formula>
    </cfRule>
    <cfRule type="cellIs" dxfId="129" priority="136" operator="equal">
      <formula>"N"</formula>
    </cfRule>
  </conditionalFormatting>
  <conditionalFormatting sqref="L105">
    <cfRule type="cellIs" dxfId="128" priority="133" operator="equal">
      <formula>"Y"</formula>
    </cfRule>
    <cfRule type="cellIs" dxfId="127" priority="134" operator="equal">
      <formula>"N"</formula>
    </cfRule>
  </conditionalFormatting>
  <conditionalFormatting sqref="M105">
    <cfRule type="expression" dxfId="126" priority="132">
      <formula>SEARCH("no exposure",$K105)</formula>
    </cfRule>
  </conditionalFormatting>
  <conditionalFormatting sqref="N105">
    <cfRule type="expression" dxfId="125" priority="131">
      <formula>SEARCH("no exposure",$K105)</formula>
    </cfRule>
  </conditionalFormatting>
  <conditionalFormatting sqref="O105">
    <cfRule type="expression" dxfId="124" priority="130">
      <formula>SEARCH("no exposure",$K105)</formula>
    </cfRule>
  </conditionalFormatting>
  <conditionalFormatting sqref="E106">
    <cfRule type="expression" dxfId="123" priority="129">
      <formula>SEARCH("no exposure",$K106)</formula>
    </cfRule>
  </conditionalFormatting>
  <conditionalFormatting sqref="F106">
    <cfRule type="expression" dxfId="122" priority="128">
      <formula>SEARCH("no exposure",$K106)</formula>
    </cfRule>
  </conditionalFormatting>
  <conditionalFormatting sqref="J106">
    <cfRule type="expression" dxfId="121" priority="127">
      <formula>SEARCH("No exposure",$K106)</formula>
    </cfRule>
  </conditionalFormatting>
  <conditionalFormatting sqref="K106">
    <cfRule type="expression" dxfId="120" priority="126">
      <formula>SEARCH("no exposure",$K106)</formula>
    </cfRule>
  </conditionalFormatting>
  <conditionalFormatting sqref="L106">
    <cfRule type="cellIs" dxfId="119" priority="124" operator="equal">
      <formula>"Y"</formula>
    </cfRule>
    <cfRule type="cellIs" dxfId="118" priority="125" operator="equal">
      <formula>"N"</formula>
    </cfRule>
  </conditionalFormatting>
  <conditionalFormatting sqref="L106">
    <cfRule type="cellIs" dxfId="117" priority="122" operator="equal">
      <formula>"Y"</formula>
    </cfRule>
    <cfRule type="cellIs" dxfId="116" priority="123" operator="equal">
      <formula>"N"</formula>
    </cfRule>
  </conditionalFormatting>
  <conditionalFormatting sqref="M106">
    <cfRule type="expression" dxfId="115" priority="121">
      <formula>SEARCH("no exposure",$K106)</formula>
    </cfRule>
  </conditionalFormatting>
  <conditionalFormatting sqref="N106">
    <cfRule type="expression" dxfId="114" priority="120">
      <formula>SEARCH("no exposure",$K106)</formula>
    </cfRule>
  </conditionalFormatting>
  <conditionalFormatting sqref="O106">
    <cfRule type="expression" dxfId="113" priority="119">
      <formula>SEARCH("no exposure",$K106)</formula>
    </cfRule>
  </conditionalFormatting>
  <conditionalFormatting sqref="E107">
    <cfRule type="expression" dxfId="112" priority="118">
      <formula>SEARCH("no exposure",$K107)</formula>
    </cfRule>
  </conditionalFormatting>
  <conditionalFormatting sqref="F107">
    <cfRule type="expression" dxfId="111" priority="117">
      <formula>SEARCH("no exposure",$K107)</formula>
    </cfRule>
  </conditionalFormatting>
  <conditionalFormatting sqref="J107">
    <cfRule type="expression" dxfId="110" priority="116">
      <formula>SEARCH("No exposure",$K107)</formula>
    </cfRule>
  </conditionalFormatting>
  <conditionalFormatting sqref="K107">
    <cfRule type="expression" dxfId="109" priority="115">
      <formula>SEARCH("no exposure",$K107)</formula>
    </cfRule>
  </conditionalFormatting>
  <conditionalFormatting sqref="L107">
    <cfRule type="cellIs" dxfId="108" priority="113" operator="equal">
      <formula>"Y"</formula>
    </cfRule>
    <cfRule type="cellIs" dxfId="107" priority="114" operator="equal">
      <formula>"N"</formula>
    </cfRule>
  </conditionalFormatting>
  <conditionalFormatting sqref="L107">
    <cfRule type="cellIs" dxfId="106" priority="111" operator="equal">
      <formula>"Y"</formula>
    </cfRule>
    <cfRule type="cellIs" dxfId="105" priority="112" operator="equal">
      <formula>"N"</formula>
    </cfRule>
  </conditionalFormatting>
  <conditionalFormatting sqref="M107">
    <cfRule type="expression" dxfId="104" priority="110">
      <formula>SEARCH("no exposure",$K107)</formula>
    </cfRule>
  </conditionalFormatting>
  <conditionalFormatting sqref="N107">
    <cfRule type="expression" dxfId="103" priority="109">
      <formula>SEARCH("no exposure",$K107)</formula>
    </cfRule>
  </conditionalFormatting>
  <conditionalFormatting sqref="O107">
    <cfRule type="expression" dxfId="102" priority="108">
      <formula>SEARCH("no exposure",$K107)</formula>
    </cfRule>
  </conditionalFormatting>
  <conditionalFormatting sqref="E108">
    <cfRule type="expression" dxfId="101" priority="107">
      <formula>SEARCH("no exposure",$K108)</formula>
    </cfRule>
  </conditionalFormatting>
  <conditionalFormatting sqref="F108">
    <cfRule type="expression" dxfId="100" priority="106">
      <formula>SEARCH("no exposure",$K108)</formula>
    </cfRule>
  </conditionalFormatting>
  <conditionalFormatting sqref="J108">
    <cfRule type="expression" dxfId="99" priority="105">
      <formula>SEARCH("No exposure",$K108)</formula>
    </cfRule>
  </conditionalFormatting>
  <conditionalFormatting sqref="K108">
    <cfRule type="expression" dxfId="98" priority="104">
      <formula>SEARCH("no exposure",$K108)</formula>
    </cfRule>
  </conditionalFormatting>
  <conditionalFormatting sqref="L108">
    <cfRule type="cellIs" dxfId="97" priority="102" operator="equal">
      <formula>"Y"</formula>
    </cfRule>
    <cfRule type="cellIs" dxfId="96" priority="103" operator="equal">
      <formula>"N"</formula>
    </cfRule>
  </conditionalFormatting>
  <conditionalFormatting sqref="L108">
    <cfRule type="cellIs" dxfId="95" priority="100" operator="equal">
      <formula>"Y"</formula>
    </cfRule>
    <cfRule type="cellIs" dxfId="94" priority="101" operator="equal">
      <formula>"N"</formula>
    </cfRule>
  </conditionalFormatting>
  <conditionalFormatting sqref="M108">
    <cfRule type="expression" dxfId="93" priority="99">
      <formula>SEARCH("no exposure",$K108)</formula>
    </cfRule>
  </conditionalFormatting>
  <conditionalFormatting sqref="N108">
    <cfRule type="expression" dxfId="92" priority="97">
      <formula>SEARCH("no exposure",$K108)</formula>
    </cfRule>
  </conditionalFormatting>
  <conditionalFormatting sqref="O108">
    <cfRule type="expression" dxfId="91" priority="96">
      <formula>SEARCH("no exposure",$K108)</formula>
    </cfRule>
  </conditionalFormatting>
  <conditionalFormatting sqref="E109">
    <cfRule type="expression" dxfId="90" priority="95">
      <formula>SEARCH("no exposure",$K109)</formula>
    </cfRule>
  </conditionalFormatting>
  <conditionalFormatting sqref="F109">
    <cfRule type="expression" dxfId="89" priority="94">
      <formula>SEARCH("no exposure",$K109)</formula>
    </cfRule>
  </conditionalFormatting>
  <conditionalFormatting sqref="J109">
    <cfRule type="expression" dxfId="88" priority="93">
      <formula>SEARCH("No exposure",$K109)</formula>
    </cfRule>
  </conditionalFormatting>
  <conditionalFormatting sqref="K109">
    <cfRule type="expression" dxfId="87" priority="92">
      <formula>SEARCH("no exposure",$K109)</formula>
    </cfRule>
  </conditionalFormatting>
  <conditionalFormatting sqref="L109">
    <cfRule type="cellIs" dxfId="86" priority="90" operator="equal">
      <formula>"Y"</formula>
    </cfRule>
    <cfRule type="cellIs" dxfId="85" priority="91" operator="equal">
      <formula>"N"</formula>
    </cfRule>
  </conditionalFormatting>
  <conditionalFormatting sqref="L109">
    <cfRule type="cellIs" dxfId="84" priority="88" operator="equal">
      <formula>"Y"</formula>
    </cfRule>
    <cfRule type="cellIs" dxfId="83" priority="89" operator="equal">
      <formula>"N"</formula>
    </cfRule>
  </conditionalFormatting>
  <conditionalFormatting sqref="M109">
    <cfRule type="expression" dxfId="82" priority="87">
      <formula>SEARCH("no exposure",$K109)</formula>
    </cfRule>
  </conditionalFormatting>
  <conditionalFormatting sqref="N109">
    <cfRule type="expression" dxfId="81" priority="86">
      <formula>SEARCH("no exposure",$K109)</formula>
    </cfRule>
  </conditionalFormatting>
  <conditionalFormatting sqref="O109">
    <cfRule type="expression" dxfId="80" priority="85">
      <formula>SEARCH("no exposure",$K109)</formula>
    </cfRule>
  </conditionalFormatting>
  <conditionalFormatting sqref="E110">
    <cfRule type="expression" dxfId="79" priority="84">
      <formula>SEARCH("no exposure",$K110)</formula>
    </cfRule>
  </conditionalFormatting>
  <conditionalFormatting sqref="F110">
    <cfRule type="expression" dxfId="78" priority="83">
      <formula>SEARCH("no exposure",$K110)</formula>
    </cfRule>
  </conditionalFormatting>
  <conditionalFormatting sqref="J110">
    <cfRule type="expression" dxfId="77" priority="82">
      <formula>SEARCH("No exposure",$K110)</formula>
    </cfRule>
  </conditionalFormatting>
  <conditionalFormatting sqref="K110">
    <cfRule type="expression" dxfId="76" priority="81">
      <formula>SEARCH("no exposure",$K110)</formula>
    </cfRule>
  </conditionalFormatting>
  <conditionalFormatting sqref="L110">
    <cfRule type="cellIs" dxfId="75" priority="79" operator="equal">
      <formula>"Y"</formula>
    </cfRule>
    <cfRule type="cellIs" dxfId="74" priority="80" operator="equal">
      <formula>"N"</formula>
    </cfRule>
  </conditionalFormatting>
  <conditionalFormatting sqref="L110">
    <cfRule type="cellIs" dxfId="73" priority="77" operator="equal">
      <formula>"Y"</formula>
    </cfRule>
    <cfRule type="cellIs" dxfId="72" priority="78" operator="equal">
      <formula>"N"</formula>
    </cfRule>
  </conditionalFormatting>
  <conditionalFormatting sqref="M110">
    <cfRule type="expression" dxfId="71" priority="75">
      <formula>SEARCH("no exposure",$K110)</formula>
    </cfRule>
  </conditionalFormatting>
  <conditionalFormatting sqref="N110">
    <cfRule type="expression" dxfId="70" priority="74">
      <formula>SEARCH("no exposure",$K110)</formula>
    </cfRule>
  </conditionalFormatting>
  <conditionalFormatting sqref="O110">
    <cfRule type="expression" dxfId="69" priority="73">
      <formula>SEARCH("no exposure",$K110)</formula>
    </cfRule>
  </conditionalFormatting>
  <conditionalFormatting sqref="E111">
    <cfRule type="expression" dxfId="68" priority="72">
      <formula>SEARCH("no exposure",$K111)</formula>
    </cfRule>
  </conditionalFormatting>
  <conditionalFormatting sqref="F111">
    <cfRule type="expression" dxfId="67" priority="71">
      <formula>SEARCH("no exposure",$K111)</formula>
    </cfRule>
  </conditionalFormatting>
  <conditionalFormatting sqref="J111">
    <cfRule type="expression" dxfId="66" priority="70">
      <formula>SEARCH("No exposure",$K111)</formula>
    </cfRule>
  </conditionalFormatting>
  <conditionalFormatting sqref="K111">
    <cfRule type="expression" dxfId="65" priority="69">
      <formula>SEARCH("no exposure",$K111)</formula>
    </cfRule>
  </conditionalFormatting>
  <conditionalFormatting sqref="L111">
    <cfRule type="cellIs" dxfId="64" priority="67" operator="equal">
      <formula>"Y"</formula>
    </cfRule>
    <cfRule type="cellIs" dxfId="63" priority="68" operator="equal">
      <formula>"N"</formula>
    </cfRule>
  </conditionalFormatting>
  <conditionalFormatting sqref="L111">
    <cfRule type="cellIs" dxfId="62" priority="65" operator="equal">
      <formula>"Y"</formula>
    </cfRule>
    <cfRule type="cellIs" dxfId="61" priority="66" operator="equal">
      <formula>"N"</formula>
    </cfRule>
  </conditionalFormatting>
  <conditionalFormatting sqref="M111">
    <cfRule type="expression" dxfId="60" priority="64">
      <formula>SEARCH("no exposure",$K111)</formula>
    </cfRule>
  </conditionalFormatting>
  <conditionalFormatting sqref="N111">
    <cfRule type="expression" dxfId="59" priority="63">
      <formula>SEARCH("no exposure",$K111)</formula>
    </cfRule>
  </conditionalFormatting>
  <conditionalFormatting sqref="O111">
    <cfRule type="expression" dxfId="58" priority="62">
      <formula>SEARCH("no exposure",$K111)</formula>
    </cfRule>
  </conditionalFormatting>
  <conditionalFormatting sqref="E112">
    <cfRule type="expression" dxfId="57" priority="61">
      <formula>SEARCH("no exposure",$K112)</formula>
    </cfRule>
  </conditionalFormatting>
  <conditionalFormatting sqref="F112">
    <cfRule type="expression" dxfId="56" priority="60">
      <formula>SEARCH("no exposure",$K112)</formula>
    </cfRule>
  </conditionalFormatting>
  <conditionalFormatting sqref="J112">
    <cfRule type="expression" dxfId="55" priority="59">
      <formula>SEARCH("No exposure",$K112)</formula>
    </cfRule>
  </conditionalFormatting>
  <conditionalFormatting sqref="L112">
    <cfRule type="cellIs" dxfId="54" priority="56" operator="equal">
      <formula>"Y"</formula>
    </cfRule>
    <cfRule type="cellIs" dxfId="53" priority="57" operator="equal">
      <formula>"N"</formula>
    </cfRule>
  </conditionalFormatting>
  <conditionalFormatting sqref="L112">
    <cfRule type="cellIs" dxfId="52" priority="54" operator="equal">
      <formula>"Y"</formula>
    </cfRule>
    <cfRule type="cellIs" dxfId="51" priority="55" operator="equal">
      <formula>"N"</formula>
    </cfRule>
  </conditionalFormatting>
  <conditionalFormatting sqref="M112">
    <cfRule type="expression" dxfId="50" priority="53">
      <formula>SEARCH("no exposure",$K112)</formula>
    </cfRule>
  </conditionalFormatting>
  <conditionalFormatting sqref="N112">
    <cfRule type="expression" dxfId="49" priority="52">
      <formula>SEARCH("no exposure",$K112)</formula>
    </cfRule>
  </conditionalFormatting>
  <conditionalFormatting sqref="O112">
    <cfRule type="expression" dxfId="48" priority="51">
      <formula>SEARCH("no exposure",$K112)</formula>
    </cfRule>
  </conditionalFormatting>
  <conditionalFormatting sqref="K59">
    <cfRule type="expression" dxfId="47" priority="50">
      <formula>SEARCH("no exposure",$K59)</formula>
    </cfRule>
  </conditionalFormatting>
  <conditionalFormatting sqref="K76">
    <cfRule type="expression" dxfId="46" priority="49">
      <formula>SEARCH("no exposure",$K76)</formula>
    </cfRule>
  </conditionalFormatting>
  <conditionalFormatting sqref="K82">
    <cfRule type="expression" dxfId="45" priority="48">
      <formula>SEARCH("no exposure",$K82)</formula>
    </cfRule>
  </conditionalFormatting>
  <conditionalFormatting sqref="K112">
    <cfRule type="expression" dxfId="44" priority="47">
      <formula>SEARCH("no exposure",$K112)</formula>
    </cfRule>
  </conditionalFormatting>
  <conditionalFormatting sqref="E113">
    <cfRule type="expression" dxfId="43" priority="44">
      <formula>SEARCH("no exposure",$K113)</formula>
    </cfRule>
  </conditionalFormatting>
  <conditionalFormatting sqref="F113">
    <cfRule type="expression" dxfId="42" priority="43">
      <formula>SEARCH("no exposure",$K113)</formula>
    </cfRule>
  </conditionalFormatting>
  <conditionalFormatting sqref="J113">
    <cfRule type="expression" dxfId="41" priority="42">
      <formula>SEARCH("No exposure",$K113)</formula>
    </cfRule>
  </conditionalFormatting>
  <conditionalFormatting sqref="K113">
    <cfRule type="expression" dxfId="40" priority="41">
      <formula>SEARCH("no exposure",$K113)</formula>
    </cfRule>
  </conditionalFormatting>
  <conditionalFormatting sqref="L113">
    <cfRule type="cellIs" dxfId="39" priority="39" operator="equal">
      <formula>"Y"</formula>
    </cfRule>
    <cfRule type="cellIs" dxfId="38" priority="40" operator="equal">
      <formula>"N"</formula>
    </cfRule>
  </conditionalFormatting>
  <conditionalFormatting sqref="L113">
    <cfRule type="cellIs" dxfId="37" priority="37" operator="equal">
      <formula>"Y"</formula>
    </cfRule>
    <cfRule type="cellIs" dxfId="36" priority="38" operator="equal">
      <formula>"N"</formula>
    </cfRule>
  </conditionalFormatting>
  <conditionalFormatting sqref="M113">
    <cfRule type="expression" dxfId="35" priority="36">
      <formula>SEARCH("no exposure",$K113)</formula>
    </cfRule>
  </conditionalFormatting>
  <conditionalFormatting sqref="N113">
    <cfRule type="expression" dxfId="34" priority="35">
      <formula>SEARCH("no exposure",$K113)</formula>
    </cfRule>
  </conditionalFormatting>
  <conditionalFormatting sqref="O113">
    <cfRule type="expression" dxfId="33" priority="34">
      <formula>SEARCH("no exposure",$K113)</formula>
    </cfRule>
  </conditionalFormatting>
  <conditionalFormatting sqref="E114">
    <cfRule type="expression" dxfId="32" priority="33">
      <formula>SEARCH("no exposure",$K114)</formula>
    </cfRule>
  </conditionalFormatting>
  <conditionalFormatting sqref="F114">
    <cfRule type="expression" dxfId="31" priority="32">
      <formula>SEARCH("no exposure",$K114)</formula>
    </cfRule>
  </conditionalFormatting>
  <conditionalFormatting sqref="J114">
    <cfRule type="expression" dxfId="30" priority="31">
      <formula>SEARCH("No exposure",$K114)</formula>
    </cfRule>
  </conditionalFormatting>
  <conditionalFormatting sqref="K114">
    <cfRule type="expression" dxfId="29" priority="30">
      <formula>SEARCH("no exposure",$K114)</formula>
    </cfRule>
  </conditionalFormatting>
  <conditionalFormatting sqref="L114">
    <cfRule type="cellIs" dxfId="28" priority="28" operator="equal">
      <formula>"Y"</formula>
    </cfRule>
    <cfRule type="cellIs" dxfId="27" priority="29" operator="equal">
      <formula>"N"</formula>
    </cfRule>
  </conditionalFormatting>
  <conditionalFormatting sqref="L114">
    <cfRule type="cellIs" dxfId="26" priority="26" operator="equal">
      <formula>"Y"</formula>
    </cfRule>
    <cfRule type="cellIs" dxfId="25" priority="27" operator="equal">
      <formula>"N"</formula>
    </cfRule>
  </conditionalFormatting>
  <conditionalFormatting sqref="M114">
    <cfRule type="expression" dxfId="24" priority="25">
      <formula>SEARCH("no exposure",$K114)</formula>
    </cfRule>
  </conditionalFormatting>
  <conditionalFormatting sqref="N114">
    <cfRule type="expression" dxfId="23" priority="24">
      <formula>SEARCH("no exposure",$K114)</formula>
    </cfRule>
  </conditionalFormatting>
  <conditionalFormatting sqref="O114">
    <cfRule type="expression" dxfId="22" priority="23">
      <formula>SEARCH("no exposure",$K114)</formula>
    </cfRule>
  </conditionalFormatting>
  <conditionalFormatting sqref="E115">
    <cfRule type="expression" dxfId="21" priority="22">
      <formula>SEARCH("no exposure",$K115)</formula>
    </cfRule>
  </conditionalFormatting>
  <conditionalFormatting sqref="F115">
    <cfRule type="expression" dxfId="20" priority="21">
      <formula>SEARCH("no exposure",$K115)</formula>
    </cfRule>
  </conditionalFormatting>
  <conditionalFormatting sqref="J115">
    <cfRule type="expression" dxfId="19" priority="20">
      <formula>SEARCH("No exposure",$K115)</formula>
    </cfRule>
  </conditionalFormatting>
  <conditionalFormatting sqref="K115">
    <cfRule type="expression" dxfId="18" priority="19">
      <formula>SEARCH("no exposure",$K115)</formula>
    </cfRule>
  </conditionalFormatting>
  <conditionalFormatting sqref="L115">
    <cfRule type="cellIs" dxfId="17" priority="17" operator="equal">
      <formula>"Y"</formula>
    </cfRule>
    <cfRule type="cellIs" dxfId="16" priority="18" operator="equal">
      <formula>"N"</formula>
    </cfRule>
  </conditionalFormatting>
  <conditionalFormatting sqref="L115">
    <cfRule type="cellIs" dxfId="15" priority="15" operator="equal">
      <formula>"Y"</formula>
    </cfRule>
    <cfRule type="cellIs" dxfId="14" priority="16" operator="equal">
      <formula>"N"</formula>
    </cfRule>
  </conditionalFormatting>
  <conditionalFormatting sqref="M115">
    <cfRule type="expression" dxfId="13" priority="14">
      <formula>SEARCH("no exposure",$K115)</formula>
    </cfRule>
  </conditionalFormatting>
  <conditionalFormatting sqref="N115">
    <cfRule type="expression" dxfId="12" priority="13">
      <formula>SEARCH("no exposure",$K115)</formula>
    </cfRule>
  </conditionalFormatting>
  <conditionalFormatting sqref="O115">
    <cfRule type="expression" dxfId="11" priority="12">
      <formula>SEARCH("no exposure",$K115)</formula>
    </cfRule>
  </conditionalFormatting>
  <conditionalFormatting sqref="E116">
    <cfRule type="expression" dxfId="10" priority="11">
      <formula>SEARCH("no exposure",$K116)</formula>
    </cfRule>
  </conditionalFormatting>
  <conditionalFormatting sqref="F116">
    <cfRule type="expression" dxfId="9" priority="10">
      <formula>SEARCH("no exposure",$K116)</formula>
    </cfRule>
  </conditionalFormatting>
  <conditionalFormatting sqref="J116">
    <cfRule type="expression" dxfId="8" priority="9">
      <formula>SEARCH("No exposure",$K116)</formula>
    </cfRule>
  </conditionalFormatting>
  <conditionalFormatting sqref="K116">
    <cfRule type="expression" dxfId="7" priority="8">
      <formula>SEARCH("no exposure",$K116)</formula>
    </cfRule>
  </conditionalFormatting>
  <conditionalFormatting sqref="L116">
    <cfRule type="cellIs" dxfId="6" priority="6" operator="equal">
      <formula>"Y"</formula>
    </cfRule>
    <cfRule type="cellIs" dxfId="5" priority="7" operator="equal">
      <formula>"N"</formula>
    </cfRule>
  </conditionalFormatting>
  <conditionalFormatting sqref="L116">
    <cfRule type="cellIs" dxfId="4" priority="4" operator="equal">
      <formula>"Y"</formula>
    </cfRule>
    <cfRule type="cellIs" dxfId="3" priority="5" operator="equal">
      <formula>"N"</formula>
    </cfRule>
  </conditionalFormatting>
  <conditionalFormatting sqref="M116">
    <cfRule type="expression" dxfId="2" priority="3">
      <formula>SEARCH("no exposure",$K116)</formula>
    </cfRule>
  </conditionalFormatting>
  <conditionalFormatting sqref="N116">
    <cfRule type="expression" dxfId="1" priority="2">
      <formula>SEARCH("no exposure",$K116)</formula>
    </cfRule>
  </conditionalFormatting>
  <conditionalFormatting sqref="O116">
    <cfRule type="expression" dxfId="0" priority="1">
      <formula>SEARCH("no exposure",$K116)</formula>
    </cfRule>
  </conditionalFormatting>
  <hyperlinks>
    <hyperlink ref="A41" location="'Eyemart Express'!A1" display="Eyemart Express" xr:uid="{00000000-0004-0000-0000-000000000000}"/>
    <hyperlink ref="A48" location="'Hostess Brands'!A1" display="Hostess Brands" xr:uid="{00000000-0004-0000-0000-000001000000}"/>
    <hyperlink ref="A53" location="'Jacobs Douwe Egberts'!A1" display="Jacobs Douwe Egberts" xr:uid="{00000000-0004-0000-0000-000002000000}"/>
    <hyperlink ref="A70" location="'NPC International'!A1" display="NPC International" xr:uid="{00000000-0004-0000-0000-000003000000}"/>
    <hyperlink ref="A75" location="'Packers Holdings'!A1" display="Packers Holdings" xr:uid="{00000000-0004-0000-0000-000004000000}"/>
    <hyperlink ref="A97" location="'TKC Holdings'!A1" display="TKC Holdings" xr:uid="{00000000-0004-0000-0000-000005000000}"/>
    <hyperlink ref="A91" location="SMG!A1" display="SMG" xr:uid="{00000000-0004-0000-0000-000006000000}"/>
    <hyperlink ref="A104" location="'Weight Watchers'!A1" display="Weight Watchers" xr:uid="{00000000-0004-0000-0000-000007000000}"/>
    <hyperlink ref="A115" location="WorldStrides!A1" display="WorldStrides" xr:uid="{00000000-0004-0000-0000-000008000000}"/>
    <hyperlink ref="A43" location="Fluidra!A1" display="Fluidra" xr:uid="{00000000-0004-0000-0000-000009000000}"/>
    <hyperlink ref="A26" location="'Carlisle FoodService'!A1" display="Carlisle FoodService" xr:uid="{00000000-0004-0000-0000-00000A000000}"/>
    <hyperlink ref="A62" location="'Mastronardi Produce'!A1" display="Mastronardi Produce" xr:uid="{00000000-0004-0000-0000-00000B000000}"/>
    <hyperlink ref="A20" location="'Bay Club'!A1" display="Bay Club" xr:uid="{00000000-0004-0000-0000-00000C000000}"/>
    <hyperlink ref="A107" location="'Veritext Legal Solutions'!A1" display="Veritext Legal Solutions" xr:uid="{00000000-0004-0000-0000-00000D000000}"/>
    <hyperlink ref="A25" location="'Camping World'!A1" display="Camping World" xr:uid="{00000000-0004-0000-0000-00000E000000}"/>
    <hyperlink ref="A52" location="'International Car Wash Group'!A1" display="International Car Wash Group" xr:uid="{00000000-0004-0000-0000-00000F000000}"/>
    <hyperlink ref="A105" location="'Varsity Brands'!A1" display="Varsity Brands" xr:uid="{00000000-0004-0000-0000-000010000000}"/>
    <hyperlink ref="A74" location="'Pelican Products'!A1" display="Pelican Products" xr:uid="{00000000-0004-0000-0000-000011000000}"/>
    <hyperlink ref="A3" location="'1-800 Contacts'!A1" display="1-800 Contacts" xr:uid="{00000000-0004-0000-0000-000012000000}"/>
    <hyperlink ref="A19" location="'Bass Pro Group'!A1" display="Bass Pro Group" xr:uid="{00000000-0004-0000-0000-000013000000}"/>
    <hyperlink ref="A58" location="'KIK Custom Products'!A1" display="KIK Custom Products" xr:uid="{00000000-0004-0000-0000-000014000000}"/>
    <hyperlink ref="A60" location="'Life Time Fitness'!A1" display="Life Time Fitness" xr:uid="{00000000-0004-0000-0000-000015000000}"/>
    <hyperlink ref="A68" location="MyEyeDr!A1" display="MyEyeDr" xr:uid="{00000000-0004-0000-0000-000016000000}"/>
    <hyperlink ref="A73" location="Navico!A1" display="Navico" xr:uid="{00000000-0004-0000-0000-000017000000}"/>
    <hyperlink ref="A71" location="'Pabst Blue Ribbon'!A1" display="Pabst Blue Ribbon" xr:uid="{00000000-0004-0000-0000-000018000000}"/>
    <hyperlink ref="A80" location="PlayCore!A1" display="PlayCore" xr:uid="{00000000-0004-0000-0000-000019000000}"/>
    <hyperlink ref="A78" location="'Protection One'!A1" display="Protection One" xr:uid="{00000000-0004-0000-0000-00001A000000}"/>
    <hyperlink ref="A100" location="TruGreen!A1" display="TruGreen" xr:uid="{00000000-0004-0000-0000-00001B000000}"/>
    <hyperlink ref="A98" location="TriMark!A1" display="TriMark" xr:uid="{00000000-0004-0000-0000-00001C000000}"/>
    <hyperlink ref="A101" location="'VC GB'!A1" display="VC GB" xr:uid="{00000000-0004-0000-0000-00001D000000}"/>
    <hyperlink ref="A83" location="'Restaurant Technologies, Inc.'!A1" display="Restaurant Technologies, Inc." xr:uid="{00000000-0004-0000-0000-00001E000000}"/>
    <hyperlink ref="A28" location="Chobani!A1" display="Chobani" xr:uid="{00000000-0004-0000-0000-00001F000000}"/>
    <hyperlink ref="A47" location="'Hearthside Food Solutions'!A1" display="Hearthside Food Solutions" xr:uid="{00000000-0004-0000-0000-000020000000}"/>
    <hyperlink ref="Q43" r:id="rId1" xr:uid="{00000000-0004-0000-0000-000021000000}"/>
    <hyperlink ref="A27" location="'CH Guenther &amp; Son'!A1" display="CH Guenther &amp; Son" xr:uid="{00000000-0004-0000-0000-000022000000}"/>
    <hyperlink ref="A94" location="'TopGolf International'!A1" display="TopGolf International" xr:uid="{00000000-0004-0000-0000-000023000000}"/>
    <hyperlink ref="A21" location="'Belfor Holdings'!A1" display="Belfor Holdings" xr:uid="{00000000-0004-0000-0000-000024000000}"/>
    <hyperlink ref="A92" location="'Tivity Health'!A1" display="Tivity Health" xr:uid="{00000000-0004-0000-0000-000025000000}"/>
    <hyperlink ref="A5" location="'Aimbridge Hospitality'!A1" display="Aimbridge Hospitality" xr:uid="{00000000-0004-0000-0000-000026000000}"/>
    <hyperlink ref="A39" location="Equinox!A1" display="Equinox" xr:uid="{00000000-0004-0000-0000-000027000000}"/>
    <hyperlink ref="A57" location="'Jostens, Inc.'!A1" display="Jostens, Inc." xr:uid="{00000000-0004-0000-0000-000028000000}"/>
    <hyperlink ref="A84" location="Servpro!A1" display="Servpro" xr:uid="{00000000-0004-0000-0000-000029000000}"/>
    <hyperlink ref="A55" location="'JBS USA'!A1" display="JBS USA" xr:uid="{00000000-0004-0000-0000-00002A000000}"/>
    <hyperlink ref="A10" location="'Anastasia Skin Care'!A1" display="Anastasia Skin Care" xr:uid="{00000000-0004-0000-0000-00002B000000}"/>
    <hyperlink ref="A66" location="'Mister Car Wash'!A1" display="Mister Car Wash" xr:uid="{00000000-0004-0000-0000-00002C000000}"/>
    <hyperlink ref="A51" location="'Insurance Auto Auctions, Inc.'!A1" display="Insurance Auto Auctions, Inc." xr:uid="{00000000-0004-0000-0000-00002D000000}"/>
    <hyperlink ref="A7" location="'American Greetings'!A1" display="American Greetings" xr:uid="{00000000-0004-0000-0000-00002E000000}"/>
    <hyperlink ref="A35" location="'Constellation Brands'!A1" display="Constellation Brands" xr:uid="{00000000-0004-0000-0000-00002F000000}"/>
    <hyperlink ref="A76" location="'PLZ Aeroscience Corporation'!A1" display="PLZ Aeroscience Corporation" xr:uid="{00000000-0004-0000-0000-000030000000}"/>
    <hyperlink ref="A106" location="'World Triathlon'!A1" display="World Triathlon" xr:uid="{00000000-0004-0000-0000-000031000000}"/>
    <hyperlink ref="A72" location="NASCAR!A1" display="NASCAR" xr:uid="{00000000-0004-0000-0000-000032000000}"/>
    <hyperlink ref="A116" location="'Worley Claims Services'!A1" display="Worley Claims Services" xr:uid="{00000000-0004-0000-0000-000033000000}"/>
    <hyperlink ref="A114" location="Whataburger!A1" display="Whataburger" xr:uid="{00000000-0004-0000-0000-000034000000}"/>
    <hyperlink ref="A61" location="'Knowlton Development'!A1" display="Knowlton Development Corporation Inc." xr:uid="{00000000-0004-0000-0000-000035000000}"/>
    <hyperlink ref="A59" location="'KAR Auction Services'!A1" display="KAR Auction Services " xr:uid="{00000000-0004-0000-0000-000036000000}"/>
    <hyperlink ref="A17" location="'B&amp;G Foods'!A1" display="B&amp;G Foods" xr:uid="{00000000-0004-0000-0000-000037000000}"/>
    <hyperlink ref="A88" location="'Shearers Foods'!A1" display="Shearer's Foods" xr:uid="{00000000-0004-0000-0000-000038000000}"/>
    <hyperlink ref="A69" location="NBTY!A1" display="NBTY" xr:uid="{00000000-0004-0000-0000-000039000000}"/>
    <hyperlink ref="A102" location="'UFC Holdings'!A1" display="UFC Holdings" xr:uid="{00000000-0004-0000-0000-00003A000000}"/>
    <hyperlink ref="A109" location="'Yum Brands'!A1" display="Yum Brands" xr:uid="{00000000-0004-0000-0000-00003B000000}"/>
    <hyperlink ref="A24" location="'Burger King'!A1" display="Burger King/Tim Hortons" xr:uid="{00000000-0004-0000-0000-00003C000000}"/>
    <hyperlink ref="A87" location="ServiceMaster!A1" display="ServiceMaster" xr:uid="{00000000-0004-0000-0000-00003D000000}"/>
    <hyperlink ref="A64" location="'Merlin Entertainment'!A1" display="Merlin Entertainment" xr:uid="{00000000-0004-0000-0000-00003E000000}"/>
    <hyperlink ref="A12" location="Aramark!A1" display="Aramark" xr:uid="{00000000-0004-0000-0000-00003F000000}"/>
    <hyperlink ref="A42" location="'First Advantage'!A1" display="First Advantage" xr:uid="{00000000-0004-0000-0000-000040000000}"/>
    <hyperlink ref="A85" location="'Reynolds Consumer Products'!A1" display="Reynolds Consumer Products" xr:uid="{00000000-0004-0000-0000-000042000000}"/>
    <hyperlink ref="A95" location="Stubhub!A1" display="Stubhub" xr:uid="{00000000-0004-0000-0000-000043000000}"/>
    <hyperlink ref="A9" location="'AMEX Global Business Travel'!A1" display="AMEX Global Business Travel" xr:uid="{00000000-0004-0000-0000-000044000000}"/>
    <hyperlink ref="A13" location="'Arbys Restaurant Group'!A1" display="Arby's Restaurant Group" xr:uid="{00000000-0004-0000-0000-000045000000}"/>
    <hyperlink ref="Q106" r:id="rId2" xr:uid="{00000000-0004-0000-0000-000046000000}"/>
    <hyperlink ref="A14" location="Arnotts!A1" display="Arnott's" xr:uid="{7228EBCD-5E44-4781-A32F-0F4279A72596}"/>
    <hyperlink ref="A22" location="'Blackhawk Network Holdings'!A1" display="Blackhawk Network Holdings" xr:uid="{8082091C-291F-4153-B476-728234A662CC}"/>
    <hyperlink ref="A4" location="Adevinta!A1" display="Adevinta" xr:uid="{84B4AED7-9A8B-45AB-A4E9-196E4FC80268}"/>
    <hyperlink ref="A6" location="'Alliance Laundry'!A1" display="Alliance Laundry" xr:uid="{9280FA28-4CF3-4DE0-97D4-26EDD7F297A4}"/>
    <hyperlink ref="A8" location="'American Residential'!A1" display="American Residential" xr:uid="{9ED4819D-54D6-4CDB-9490-AB9903244CC2}"/>
    <hyperlink ref="A86" location="'Service Logic'!A1" display="Service Logic" xr:uid="{7C1ABD73-3915-4729-924C-A674189749DE}"/>
    <hyperlink ref="A113" location="'Weber Grills'!A1" display="Weber Grills" xr:uid="{FE4BC07E-A230-4743-8131-359B51AB0D37}"/>
    <hyperlink ref="A33" location="CommerceHub!A1" display="CommerceHub" xr:uid="{69FAA7A9-C9D5-4AD5-A8FB-2566159EADB6}"/>
    <hyperlink ref="A54" location="'Imperial Dade'!A1" display="Imperial Dade" xr:uid="{553EC0FF-69E5-4C9C-B8D0-2ADE18B23C44}"/>
    <hyperlink ref="A96" location="'Therma Holdings'!A1" display="Therma Holdings" xr:uid="{E762C764-8449-4441-A4E9-93C2AD08A5CE}"/>
    <hyperlink ref="A103" location="'Utz Brands'!A1" display="Utz Brands" xr:uid="{2A8F0635-BD44-4AFC-AE57-00F3B2325851}"/>
    <hyperlink ref="A82" location="'Rent-A-Center'!A1" display="Rent-A-Center" xr:uid="{D16F7FE5-BB7B-48C0-A481-BD6572859A35}"/>
    <hyperlink ref="A81" location="PrimeSource!A1" display="PrimeSource" xr:uid="{7E6D649B-3721-46B4-9410-AF0F4090C73C}"/>
    <hyperlink ref="A77" location="'PDC Brands'!A1" display="PDC Brands" xr:uid="{58397572-0AF7-4BAE-8D0C-ED8B770E5A6F}"/>
    <hyperlink ref="A65" location="'Murphy USA'!A1" display="Murphy USA" xr:uid="{CE7428A6-EBAA-4C37-9EA6-3875497BBFAB}"/>
    <hyperlink ref="A56" location="'Jo-Ann Fabrics'!A1" display="Jo-Ann Fabrics" xr:uid="{92ADFCBD-0336-46AC-AD04-3BD3A8AC9DE3}"/>
    <hyperlink ref="A46" location="Hillman!A1" display="Hillman" xr:uid="{5CAC4087-1F83-4C77-9606-FFDFA552862B}"/>
    <hyperlink ref="A38" location="'Domtar Personal Care'!A1" display="Domtar Personal Care" xr:uid="{BDF7796C-BE75-4F55-AD77-18E079D660E4}"/>
    <hyperlink ref="A16" location="'Authentic Brands Group LLC'!A1" display="Authentic Brands Group LLC" xr:uid="{63788A52-9F4B-4AA5-A9D2-2035262B39E7}"/>
    <hyperlink ref="A99" location="'Triton Water'!A1" display="Triton Water" xr:uid="{E30D60AD-491A-40D4-AAB8-2869D90877F8}"/>
    <hyperlink ref="A90" location="SiteOne!A1" display="SiteOne" xr:uid="{A8CD7ABF-22C5-4F25-B68D-0FC5A21BB872}"/>
    <hyperlink ref="A89" location="'Spectrum Brands'!A1" display="Spectrum Brands" xr:uid="{0D62560A-AC08-4276-AD12-19CFFEA1AA9D}"/>
    <hyperlink ref="A110" location="Zaxbys!A1" display="Zaxby's" xr:uid="{EFF4E5C9-E491-4EB1-899B-F40E571021BE}"/>
    <hyperlink ref="A31" location="'City Brewing'!A1" display="City Brewing" xr:uid="{03354DC3-BF0E-4344-B3E4-EFC0227718AC}"/>
    <hyperlink ref="A49" location="'Hunter Fans'!A1" display="Hunter Fans" xr:uid="{1B4CEA74-27ED-4FFE-B53F-E6CA73BFC837}"/>
    <hyperlink ref="A50" location="ImageFirst!A1" display="ImageFirst" xr:uid="{F2AD1D7E-AA9C-475F-A612-31EE7E5A54C1}"/>
    <hyperlink ref="A44" location="Frontdoor!A1" display="Frontdoor" xr:uid="{4DF7DACE-29AC-440B-BA20-D75A56117575}"/>
    <hyperlink ref="A34" location="Conair!A1" display="Conair" xr:uid="{DD144D4C-0F80-4C43-AEC2-F11996E24CE5}"/>
    <hyperlink ref="A32" location="'Club Car'!A1" display="Club Car" xr:uid="{999D8E30-A9B5-426C-9DD6-AA4B9923043B}"/>
    <hyperlink ref="A11" location="'APM Global'!A1" display="APM Global" xr:uid="{AB11E133-5225-4288-9385-AC2A179AF44F}"/>
    <hyperlink ref="A93" location="'Sovos Brands'!A1" display="Sovos Brands" xr:uid="{4A4C92B2-2C92-4E58-BDB9-02915280E01E}"/>
    <hyperlink ref="A63" location="'Madison IAQ'!A1" display="Madison IAQ" xr:uid="{95690C5E-3329-4673-91EC-FDC433AD4750}"/>
    <hyperlink ref="A45" location="'Herman Miller'!A1" display="Herman Miller" xr:uid="{85013F94-5ECC-442F-812E-61C20A771925}"/>
    <hyperlink ref="A40" location="EmployBridge!A1" display="EmployBridge" xr:uid="{D6E25651-1972-4F33-9FC0-B8463235F3DA}"/>
    <hyperlink ref="A37" location="CoolSys!A1" display="CoolSys" xr:uid="{5D777F95-FF59-488D-8180-3448DB5B4F7C}"/>
    <hyperlink ref="A67" location="'Monogram Food'!A1" display="Monogram Food" xr:uid="{DCF381C7-B895-4580-B980-74DA94619392}"/>
    <hyperlink ref="A79" location="'Pilot Travel Centers'!A1" display="Pilot Travel Centers" xr:uid="{5524120E-4423-42A6-8E93-7625446B4780}"/>
    <hyperlink ref="A108" location="Waterlogic!A1" display="Waterlogic" xr:uid="{D9DC0B84-B3C6-4D30-B5EE-213F186D0623}"/>
  </hyperlinks>
  <pageMargins left="0.7" right="0.7" top="0.75" bottom="0.75" header="0.3" footer="0.3"/>
  <pageSetup orientation="portrait" horizontalDpi="90" verticalDpi="9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A59"/>
  <sheetViews>
    <sheetView showGridLines="0" zoomScaleNormal="100" workbookViewId="0">
      <pane xSplit="1" ySplit="10" topLeftCell="B11" activePane="bottomRight" state="frozen"/>
      <selection activeCell="Q43" sqref="Q43"/>
      <selection pane="topRight" activeCell="Q43" sqref="Q43"/>
      <selection pane="bottomLeft" activeCell="Q43" sqref="Q43"/>
      <selection pane="bottomRight" activeCell="Q43" sqref="Q43"/>
    </sheetView>
  </sheetViews>
  <sheetFormatPr defaultRowHeight="12.75" x14ac:dyDescent="0.2"/>
  <cols>
    <col min="1" max="1" width="22.7109375" style="1" customWidth="1"/>
    <col min="2" max="15" width="10.7109375" style="1" customWidth="1"/>
    <col min="16" max="25" width="10.7109375" style="1" hidden="1" customWidth="1"/>
    <col min="26" max="27" width="9.140625" style="1"/>
    <col min="28" max="28" width="9.42578125" style="1" bestFit="1" customWidth="1"/>
    <col min="29" max="16384" width="9.140625" style="1"/>
  </cols>
  <sheetData>
    <row r="2" spans="1:25" x14ac:dyDescent="0.2">
      <c r="A2" s="34" t="s">
        <v>45</v>
      </c>
      <c r="B2" s="1" t="s">
        <v>138</v>
      </c>
    </row>
    <row r="3" spans="1:25" s="35" customFormat="1" x14ac:dyDescent="0.2">
      <c r="A3" s="36" t="s">
        <v>43</v>
      </c>
      <c r="B3" s="35" t="s">
        <v>137</v>
      </c>
    </row>
    <row r="4" spans="1:25" x14ac:dyDescent="0.2">
      <c r="A4" s="34" t="s">
        <v>41</v>
      </c>
      <c r="B4" s="1" t="s">
        <v>40</v>
      </c>
    </row>
    <row r="5" spans="1:25" x14ac:dyDescent="0.2">
      <c r="A5" s="34" t="s">
        <v>39</v>
      </c>
    </row>
    <row r="6" spans="1:25" x14ac:dyDescent="0.2">
      <c r="A6" s="34" t="s">
        <v>38</v>
      </c>
      <c r="B6" s="1">
        <v>3</v>
      </c>
    </row>
    <row r="7" spans="1:25" x14ac:dyDescent="0.2">
      <c r="A7" s="34" t="s">
        <v>37</v>
      </c>
      <c r="B7" s="1" t="s">
        <v>233</v>
      </c>
    </row>
    <row r="8" spans="1:25" x14ac:dyDescent="0.2">
      <c r="A8" s="34" t="s">
        <v>281</v>
      </c>
      <c r="B8" s="1" t="s">
        <v>318</v>
      </c>
    </row>
    <row r="9" spans="1:25" x14ac:dyDescent="0.2">
      <c r="A9" s="22"/>
    </row>
    <row r="10" spans="1:25"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c r="U10" s="33">
        <v>42643</v>
      </c>
      <c r="V10" s="33">
        <v>42551</v>
      </c>
      <c r="W10" s="33">
        <v>42460</v>
      </c>
      <c r="X10" s="33">
        <v>42369</v>
      </c>
      <c r="Y10" s="33">
        <v>42277</v>
      </c>
    </row>
    <row r="12" spans="1:25" x14ac:dyDescent="0.2">
      <c r="A12" s="15" t="s">
        <v>35</v>
      </c>
      <c r="B12" s="19">
        <v>2061.8069999999998</v>
      </c>
      <c r="C12" s="19">
        <v>1557.7809999999999</v>
      </c>
      <c r="D12" s="19">
        <f>5446.591-E12-F12-G12</f>
        <v>1133.8200000000002</v>
      </c>
      <c r="E12" s="19">
        <v>1678.7530000000002</v>
      </c>
      <c r="F12" s="19">
        <v>1606.7449999999999</v>
      </c>
      <c r="G12" s="19">
        <v>1027.2730000000001</v>
      </c>
      <c r="H12" s="19">
        <f>4892.019-I12-J12-K12</f>
        <v>964.93100000000049</v>
      </c>
      <c r="I12" s="19">
        <v>1387.972</v>
      </c>
      <c r="J12" s="19">
        <v>1474.347</v>
      </c>
      <c r="K12" s="19">
        <v>1064.769</v>
      </c>
      <c r="L12" s="19">
        <f>4792.017-M12-N12-O12</f>
        <v>982.3929999999998</v>
      </c>
      <c r="M12" s="19">
        <v>1309.4860000000001</v>
      </c>
      <c r="N12" s="19">
        <f>1441.477</f>
        <v>1441.4770000000001</v>
      </c>
      <c r="O12" s="19">
        <v>1058.6610000000001</v>
      </c>
      <c r="P12" s="19">
        <f>4279.83-Q12-R12-S12</f>
        <v>883.56700000000001</v>
      </c>
      <c r="Q12" s="19">
        <v>1235.6020000000001</v>
      </c>
      <c r="R12" s="19">
        <v>1279.0260000000001</v>
      </c>
      <c r="S12" s="19">
        <v>881.63499999999999</v>
      </c>
      <c r="T12" s="19">
        <v>670.03200000000004</v>
      </c>
      <c r="U12" s="19">
        <v>1005.987</v>
      </c>
      <c r="V12" s="19">
        <v>1084.431</v>
      </c>
      <c r="W12" s="19">
        <v>809.67600000000004</v>
      </c>
      <c r="X12" s="19">
        <v>656.4079999999999</v>
      </c>
      <c r="Y12" s="19">
        <v>961.96600000000001</v>
      </c>
    </row>
    <row r="13" spans="1:25" s="28" customFormat="1" x14ac:dyDescent="0.2">
      <c r="A13" s="28" t="s">
        <v>34</v>
      </c>
      <c r="B13" s="28">
        <f t="shared" ref="B13:U13" si="0">+B12/F12-1</f>
        <v>0.28321980152419957</v>
      </c>
      <c r="C13" s="28">
        <f t="shared" si="0"/>
        <v>0.51642357971055386</v>
      </c>
      <c r="D13" s="28">
        <f t="shared" si="0"/>
        <v>0.1750270226575783</v>
      </c>
      <c r="E13" s="28">
        <f t="shared" si="0"/>
        <v>0.20950062393189506</v>
      </c>
      <c r="F13" s="28">
        <f t="shared" si="0"/>
        <v>8.9801111949900481E-2</v>
      </c>
      <c r="G13" s="28">
        <f t="shared" si="0"/>
        <v>-3.5215149952712577E-2</v>
      </c>
      <c r="H13" s="28">
        <f t="shared" si="0"/>
        <v>-1.7774963787404174E-2</v>
      </c>
      <c r="I13" s="28">
        <f t="shared" si="0"/>
        <v>5.9936494166413334E-2</v>
      </c>
      <c r="J13" s="28">
        <f t="shared" si="0"/>
        <v>2.2802999978494221E-2</v>
      </c>
      <c r="K13" s="28">
        <f t="shared" si="0"/>
        <v>5.7695522929435139E-3</v>
      </c>
      <c r="L13" s="28">
        <f t="shared" si="0"/>
        <v>0.1118489033655623</v>
      </c>
      <c r="M13" s="28">
        <f t="shared" si="0"/>
        <v>5.9795953713250638E-2</v>
      </c>
      <c r="N13" s="28">
        <f t="shared" si="0"/>
        <v>0.12701149155685654</v>
      </c>
      <c r="O13" s="28">
        <f t="shared" si="0"/>
        <v>0.2007928451116392</v>
      </c>
      <c r="P13" s="28">
        <f t="shared" si="0"/>
        <v>0.3186937340306133</v>
      </c>
      <c r="Q13" s="28">
        <f t="shared" si="0"/>
        <v>0.22824847637196122</v>
      </c>
      <c r="R13" s="28">
        <f t="shared" si="0"/>
        <v>0.1794443353242392</v>
      </c>
      <c r="S13" s="28">
        <f t="shared" si="0"/>
        <v>8.8873821133391484E-2</v>
      </c>
      <c r="T13" s="28">
        <f t="shared" si="0"/>
        <v>2.0755383846632114E-2</v>
      </c>
      <c r="U13" s="28">
        <f t="shared" si="0"/>
        <v>4.5761492609925902E-2</v>
      </c>
    </row>
    <row r="14" spans="1:25"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row>
    <row r="16" spans="1:25" s="22" customFormat="1" x14ac:dyDescent="0.2">
      <c r="A16" s="30" t="s">
        <v>31</v>
      </c>
      <c r="B16" s="29">
        <v>333.28</v>
      </c>
      <c r="C16" s="29">
        <v>189.291</v>
      </c>
      <c r="D16" s="29">
        <f>564.989-E16-F16-G16</f>
        <v>91.236000000000033</v>
      </c>
      <c r="E16" s="29">
        <v>217.03399999999999</v>
      </c>
      <c r="F16" s="29">
        <v>220.72200000000001</v>
      </c>
      <c r="G16" s="29">
        <v>35.997</v>
      </c>
      <c r="H16" s="29">
        <f>166.015-I16-J16-K16</f>
        <v>-15.133000000000003</v>
      </c>
      <c r="I16" s="29">
        <v>60.561999999999998</v>
      </c>
      <c r="J16" s="29">
        <f>92.981+2.374+3.863</f>
        <v>99.217999999999989</v>
      </c>
      <c r="K16" s="29">
        <f>27.343-0.214+2.716-8.477</f>
        <v>21.368000000000002</v>
      </c>
      <c r="L16" s="29">
        <f>L22-L21-L20-L19</f>
        <v>7.9589999999999819</v>
      </c>
      <c r="M16" s="29">
        <f>86.028+0.841+4.188</f>
        <v>91.057000000000002</v>
      </c>
      <c r="N16" s="29">
        <f>119.129-0.044+0.061+3.129</f>
        <v>122.27500000000002</v>
      </c>
      <c r="O16" s="29">
        <f>42.652+2.1+0.085+3.218</f>
        <v>48.055000000000007</v>
      </c>
      <c r="P16" s="29">
        <f>P22-P21-P20-P19</f>
        <v>41.615000000000045</v>
      </c>
      <c r="Q16" s="29">
        <f>111.536-0.005+1.204</f>
        <v>112.735</v>
      </c>
      <c r="R16" s="29">
        <f>137.518+0.031+0.869</f>
        <v>138.41800000000001</v>
      </c>
      <c r="S16" s="29">
        <v>71.855999999999995</v>
      </c>
      <c r="T16" s="29">
        <v>39.201000000000001</v>
      </c>
      <c r="U16" s="29">
        <v>89.546000000000006</v>
      </c>
      <c r="V16" s="29">
        <v>102.99299999999999</v>
      </c>
      <c r="W16" s="29">
        <v>58.222000000000001</v>
      </c>
      <c r="X16" s="29">
        <v>33.301000000000016</v>
      </c>
      <c r="Y16" s="29">
        <v>76.912000000000006</v>
      </c>
    </row>
    <row r="17" spans="1:25" s="28" customFormat="1" x14ac:dyDescent="0.2">
      <c r="A17" s="28" t="s">
        <v>30</v>
      </c>
      <c r="B17" s="28">
        <f t="shared" ref="B17:C17" si="1">+B16/B12</f>
        <v>0.16164461562115173</v>
      </c>
      <c r="C17" s="28">
        <f t="shared" si="1"/>
        <v>0.12151322939488927</v>
      </c>
      <c r="D17" s="28">
        <f t="shared" ref="D17:E17" si="2">+D16/D12</f>
        <v>8.0467799121553704E-2</v>
      </c>
      <c r="E17" s="28">
        <f t="shared" si="2"/>
        <v>0.12928286650865253</v>
      </c>
      <c r="F17" s="28">
        <f t="shared" ref="F17:G17" si="3">+F16/F12</f>
        <v>0.13737214056990998</v>
      </c>
      <c r="G17" s="28">
        <f t="shared" si="3"/>
        <v>3.50413181306235E-2</v>
      </c>
      <c r="H17" s="28">
        <f t="shared" ref="H17:I17" si="4">+H16/H12</f>
        <v>-1.5682986659149717E-2</v>
      </c>
      <c r="I17" s="28">
        <f t="shared" si="4"/>
        <v>4.3633445055087566E-2</v>
      </c>
      <c r="J17" s="28">
        <f t="shared" ref="J17:K17" si="5">+J16/J12</f>
        <v>6.7296233518974832E-2</v>
      </c>
      <c r="K17" s="28">
        <f t="shared" si="5"/>
        <v>2.0068202586664339E-2</v>
      </c>
      <c r="L17" s="28">
        <f t="shared" ref="L17:Y17" si="6">+L16/L12</f>
        <v>8.1016456754068721E-3</v>
      </c>
      <c r="M17" s="28">
        <f t="shared" si="6"/>
        <v>6.9536444070421519E-2</v>
      </c>
      <c r="N17" s="28">
        <f t="shared" si="6"/>
        <v>8.4826188693957666E-2</v>
      </c>
      <c r="O17" s="28">
        <f t="shared" si="6"/>
        <v>4.5392245487460105E-2</v>
      </c>
      <c r="P17" s="28">
        <f t="shared" si="6"/>
        <v>4.7098861772791475E-2</v>
      </c>
      <c r="Q17" s="28">
        <f t="shared" si="6"/>
        <v>9.1238926450426583E-2</v>
      </c>
      <c r="R17" s="28">
        <f t="shared" si="6"/>
        <v>0.10822141223086942</v>
      </c>
      <c r="S17" s="28">
        <f t="shared" si="6"/>
        <v>8.1503116369018913E-2</v>
      </c>
      <c r="T17" s="28">
        <f t="shared" si="6"/>
        <v>5.850616089977792E-2</v>
      </c>
      <c r="U17" s="28">
        <f t="shared" si="6"/>
        <v>8.9013078697836062E-2</v>
      </c>
      <c r="V17" s="28">
        <f t="shared" si="6"/>
        <v>9.4974230725606318E-2</v>
      </c>
      <c r="W17" s="28">
        <f t="shared" si="6"/>
        <v>7.1907775455861356E-2</v>
      </c>
      <c r="X17" s="28">
        <f t="shared" si="6"/>
        <v>5.0732166579322648E-2</v>
      </c>
      <c r="Y17" s="28">
        <f t="shared" si="6"/>
        <v>7.9952929729325162E-2</v>
      </c>
    </row>
    <row r="18" spans="1:25" s="23" customFormat="1" x14ac:dyDescent="0.2"/>
    <row r="19" spans="1:25" s="23" customFormat="1" x14ac:dyDescent="0.2">
      <c r="A19" s="15" t="s">
        <v>29</v>
      </c>
      <c r="B19" s="19">
        <v>0</v>
      </c>
      <c r="C19" s="19">
        <v>0</v>
      </c>
      <c r="D19" s="19">
        <v>0</v>
      </c>
      <c r="E19" s="19">
        <v>0</v>
      </c>
      <c r="F19" s="19">
        <v>0</v>
      </c>
      <c r="G19" s="19">
        <v>0</v>
      </c>
      <c r="H19" s="19">
        <v>0</v>
      </c>
      <c r="I19" s="19">
        <v>0</v>
      </c>
      <c r="J19" s="19">
        <v>0</v>
      </c>
      <c r="K19" s="19">
        <v>0</v>
      </c>
      <c r="L19" s="19">
        <f>43.156-M19-N19-O19</f>
        <v>2.384999999999998</v>
      </c>
      <c r="M19" s="19">
        <v>5.7649999999999997</v>
      </c>
      <c r="N19" s="19">
        <v>15.355</v>
      </c>
      <c r="O19" s="19">
        <v>19.651</v>
      </c>
      <c r="P19" s="19">
        <f>2.662+26.352-S19-R19-Q19</f>
        <v>18.244999999999997</v>
      </c>
      <c r="Q19" s="19">
        <v>7.3179999999999996</v>
      </c>
      <c r="R19" s="19">
        <f>2.1+1.351</f>
        <v>3.4510000000000001</v>
      </c>
      <c r="S19" s="19">
        <v>0</v>
      </c>
      <c r="T19" s="19">
        <v>0</v>
      </c>
      <c r="U19" s="19">
        <v>0</v>
      </c>
      <c r="V19" s="19">
        <v>0</v>
      </c>
      <c r="W19" s="19">
        <v>0</v>
      </c>
      <c r="X19" s="19">
        <v>0</v>
      </c>
      <c r="Y19" s="19">
        <v>0</v>
      </c>
    </row>
    <row r="20" spans="1:2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0.45300000000000001</v>
      </c>
      <c r="R20" s="19">
        <v>0</v>
      </c>
      <c r="S20" s="19">
        <v>0</v>
      </c>
      <c r="T20" s="19">
        <v>0</v>
      </c>
      <c r="U20" s="19">
        <v>0</v>
      </c>
      <c r="V20" s="19">
        <v>0</v>
      </c>
      <c r="W20" s="19">
        <v>0</v>
      </c>
      <c r="X20" s="19">
        <v>0</v>
      </c>
      <c r="Y20" s="19">
        <v>0</v>
      </c>
    </row>
    <row r="21" spans="1:2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9.6000000000000002E-2</v>
      </c>
      <c r="R21" s="19">
        <v>0</v>
      </c>
      <c r="S21" s="19">
        <v>0</v>
      </c>
      <c r="T21" s="19">
        <v>0</v>
      </c>
      <c r="U21" s="19">
        <v>0</v>
      </c>
      <c r="V21" s="19">
        <v>0</v>
      </c>
      <c r="W21" s="19">
        <v>0</v>
      </c>
      <c r="X21" s="19">
        <v>0</v>
      </c>
      <c r="Y21" s="19">
        <v>0</v>
      </c>
    </row>
    <row r="22" spans="1:25" s="22" customFormat="1" x14ac:dyDescent="0.2">
      <c r="A22" s="22" t="s">
        <v>23</v>
      </c>
      <c r="B22" s="20">
        <f t="shared" ref="B22:C22" si="7">SUM(B16,B19:B21)</f>
        <v>333.28</v>
      </c>
      <c r="C22" s="20">
        <f t="shared" si="7"/>
        <v>189.291</v>
      </c>
      <c r="D22" s="20">
        <f t="shared" ref="D22:E22" si="8">SUM(D16,D19:D21)</f>
        <v>91.236000000000033</v>
      </c>
      <c r="E22" s="20">
        <f t="shared" si="8"/>
        <v>217.03399999999999</v>
      </c>
      <c r="F22" s="20">
        <f t="shared" ref="F22:G22" si="9">SUM(F16,F19:F21)</f>
        <v>220.72200000000001</v>
      </c>
      <c r="G22" s="20">
        <f t="shared" si="9"/>
        <v>35.997</v>
      </c>
      <c r="H22" s="20">
        <f t="shared" ref="H22:I22" si="10">SUM(H16,H19:H21)</f>
        <v>-15.133000000000003</v>
      </c>
      <c r="I22" s="20">
        <f t="shared" si="10"/>
        <v>60.561999999999998</v>
      </c>
      <c r="J22" s="20">
        <f t="shared" ref="J22:Y22" si="11">SUM(J16,J19:J21)</f>
        <v>99.217999999999989</v>
      </c>
      <c r="K22" s="20">
        <f t="shared" si="11"/>
        <v>21.368000000000002</v>
      </c>
      <c r="L22" s="20">
        <f>312.502-M22-N22-O22</f>
        <v>10.34399999999998</v>
      </c>
      <c r="M22" s="20">
        <f t="shared" si="11"/>
        <v>96.822000000000003</v>
      </c>
      <c r="N22" s="20">
        <f t="shared" si="11"/>
        <v>137.63000000000002</v>
      </c>
      <c r="O22" s="20">
        <f t="shared" si="11"/>
        <v>67.706000000000003</v>
      </c>
      <c r="P22" s="20">
        <f>394.187-Q22-R22-S22</f>
        <v>59.860000000000042</v>
      </c>
      <c r="Q22" s="20">
        <f t="shared" si="11"/>
        <v>120.602</v>
      </c>
      <c r="R22" s="20">
        <f t="shared" si="11"/>
        <v>141.869</v>
      </c>
      <c r="S22" s="20">
        <f t="shared" si="11"/>
        <v>71.855999999999995</v>
      </c>
      <c r="T22" s="20">
        <f t="shared" si="11"/>
        <v>39.201000000000001</v>
      </c>
      <c r="U22" s="20">
        <f t="shared" si="11"/>
        <v>89.546000000000006</v>
      </c>
      <c r="V22" s="20">
        <f t="shared" si="11"/>
        <v>102.99299999999999</v>
      </c>
      <c r="W22" s="20">
        <f t="shared" si="11"/>
        <v>58.222000000000001</v>
      </c>
      <c r="X22" s="20">
        <f t="shared" si="11"/>
        <v>33.301000000000016</v>
      </c>
      <c r="Y22" s="20">
        <f t="shared" si="11"/>
        <v>76.912000000000006</v>
      </c>
    </row>
    <row r="23" spans="1:25" s="22" customFormat="1" x14ac:dyDescent="0.2">
      <c r="B23" s="28"/>
      <c r="C23" s="28"/>
      <c r="D23" s="28"/>
      <c r="E23" s="28"/>
      <c r="F23" s="28"/>
      <c r="G23" s="28"/>
      <c r="H23" s="28"/>
      <c r="I23" s="28"/>
      <c r="J23" s="28"/>
      <c r="K23" s="28"/>
      <c r="L23" s="28"/>
      <c r="M23" s="28"/>
      <c r="N23" s="28"/>
      <c r="O23" s="28"/>
      <c r="P23" s="28"/>
      <c r="Q23" s="20"/>
      <c r="R23" s="20"/>
      <c r="S23" s="20"/>
      <c r="T23" s="20"/>
      <c r="U23" s="20"/>
      <c r="V23" s="20"/>
      <c r="W23" s="20"/>
      <c r="X23" s="20"/>
      <c r="Y23" s="20"/>
    </row>
    <row r="24" spans="1:25" s="22" customFormat="1" x14ac:dyDescent="0.2">
      <c r="A24" s="22" t="s">
        <v>27</v>
      </c>
      <c r="B24" s="20">
        <f t="shared" ref="B24:V24" si="12">SUM(B22:E22)</f>
        <v>830.84099999999989</v>
      </c>
      <c r="C24" s="20">
        <f t="shared" si="12"/>
        <v>718.28300000000002</v>
      </c>
      <c r="D24" s="20">
        <f t="shared" si="12"/>
        <v>564.98900000000003</v>
      </c>
      <c r="E24" s="20">
        <f t="shared" si="12"/>
        <v>458.62</v>
      </c>
      <c r="F24" s="20">
        <f t="shared" si="12"/>
        <v>302.14799999999997</v>
      </c>
      <c r="G24" s="20">
        <f t="shared" si="12"/>
        <v>180.64399999999998</v>
      </c>
      <c r="H24" s="20">
        <f t="shared" si="12"/>
        <v>166.01499999999999</v>
      </c>
      <c r="I24" s="20">
        <f t="shared" si="12"/>
        <v>191.49199999999996</v>
      </c>
      <c r="J24" s="20">
        <f t="shared" si="12"/>
        <v>227.75199999999995</v>
      </c>
      <c r="K24" s="20">
        <f t="shared" si="12"/>
        <v>266.16399999999999</v>
      </c>
      <c r="L24" s="20">
        <f t="shared" si="12"/>
        <v>312.50200000000001</v>
      </c>
      <c r="M24" s="20">
        <f t="shared" si="12"/>
        <v>362.01800000000003</v>
      </c>
      <c r="N24" s="20">
        <f t="shared" si="12"/>
        <v>385.798</v>
      </c>
      <c r="O24" s="20">
        <f t="shared" si="12"/>
        <v>390.03700000000003</v>
      </c>
      <c r="P24" s="20">
        <f t="shared" si="12"/>
        <v>394.18700000000001</v>
      </c>
      <c r="Q24" s="20">
        <f t="shared" si="12"/>
        <v>373.52800000000002</v>
      </c>
      <c r="R24" s="20">
        <f t="shared" si="12"/>
        <v>342.47199999999998</v>
      </c>
      <c r="S24" s="20">
        <f t="shared" si="12"/>
        <v>303.596</v>
      </c>
      <c r="T24" s="20">
        <f t="shared" si="12"/>
        <v>289.96199999999999</v>
      </c>
      <c r="U24" s="20">
        <f t="shared" si="12"/>
        <v>284.06200000000001</v>
      </c>
      <c r="V24" s="20">
        <f t="shared" si="12"/>
        <v>271.428</v>
      </c>
      <c r="W24" s="20"/>
      <c r="X24" s="20"/>
      <c r="Y24" s="20"/>
    </row>
    <row r="25" spans="1:25"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v>0</v>
      </c>
      <c r="U25" s="27">
        <v>0</v>
      </c>
      <c r="V25" s="27">
        <v>0</v>
      </c>
      <c r="W25" s="27"/>
      <c r="X25" s="27"/>
      <c r="Y25" s="27"/>
    </row>
    <row r="26" spans="1:25"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6"/>
      <c r="X26" s="26"/>
      <c r="Y26" s="26"/>
    </row>
    <row r="27" spans="1:25" s="24" customFormat="1" x14ac:dyDescent="0.2">
      <c r="A27" s="22" t="s">
        <v>24</v>
      </c>
      <c r="B27" s="20">
        <f t="shared" ref="B27" si="13">SUM(B24:B26)</f>
        <v>830.84099999999989</v>
      </c>
      <c r="C27" s="20">
        <f t="shared" ref="C27:D27" si="14">SUM(C24:C26)</f>
        <v>718.28300000000002</v>
      </c>
      <c r="D27" s="20">
        <f t="shared" si="14"/>
        <v>564.98900000000003</v>
      </c>
      <c r="E27" s="20">
        <f t="shared" ref="E27:F27" si="15">SUM(E24:E26)</f>
        <v>458.62</v>
      </c>
      <c r="F27" s="20">
        <f t="shared" si="15"/>
        <v>302.14799999999997</v>
      </c>
      <c r="G27" s="20">
        <f t="shared" ref="G27:H27" si="16">SUM(G24:G26)</f>
        <v>180.64399999999998</v>
      </c>
      <c r="H27" s="20">
        <f t="shared" si="16"/>
        <v>166.01499999999999</v>
      </c>
      <c r="I27" s="20">
        <f t="shared" ref="I27:J27" si="17">SUM(I24:I26)</f>
        <v>191.49199999999996</v>
      </c>
      <c r="J27" s="20">
        <f t="shared" si="17"/>
        <v>227.75199999999995</v>
      </c>
      <c r="K27" s="20">
        <f t="shared" ref="K27:L27" si="18">SUM(K24:K26)</f>
        <v>266.16399999999999</v>
      </c>
      <c r="L27" s="20">
        <f t="shared" si="18"/>
        <v>312.50200000000001</v>
      </c>
      <c r="M27" s="20">
        <f t="shared" ref="M27:V27" si="19">SUM(M24:M26)</f>
        <v>362.01800000000003</v>
      </c>
      <c r="N27" s="20">
        <f t="shared" si="19"/>
        <v>385.798</v>
      </c>
      <c r="O27" s="20">
        <f t="shared" si="19"/>
        <v>390.03700000000003</v>
      </c>
      <c r="P27" s="20">
        <f t="shared" si="19"/>
        <v>394.18700000000001</v>
      </c>
      <c r="Q27" s="20">
        <f t="shared" si="19"/>
        <v>373.52800000000002</v>
      </c>
      <c r="R27" s="20">
        <f t="shared" si="19"/>
        <v>342.47199999999998</v>
      </c>
      <c r="S27" s="20">
        <f t="shared" si="19"/>
        <v>303.596</v>
      </c>
      <c r="T27" s="20">
        <f t="shared" si="19"/>
        <v>289.96199999999999</v>
      </c>
      <c r="U27" s="20">
        <f t="shared" si="19"/>
        <v>284.06200000000001</v>
      </c>
      <c r="V27" s="20">
        <f t="shared" si="19"/>
        <v>271.428</v>
      </c>
      <c r="W27" s="25"/>
      <c r="X27" s="25"/>
      <c r="Y27" s="25"/>
    </row>
    <row r="28" spans="1:25" s="23" customFormat="1" x14ac:dyDescent="0.2"/>
    <row r="29" spans="1:25" s="22" customFormat="1" x14ac:dyDescent="0.2">
      <c r="A29" s="22" t="s">
        <v>23</v>
      </c>
      <c r="B29" s="20">
        <f t="shared" ref="B29" si="20">B22</f>
        <v>333.28</v>
      </c>
      <c r="C29" s="20">
        <f t="shared" ref="C29:D29" si="21">C22</f>
        <v>189.291</v>
      </c>
      <c r="D29" s="20">
        <f t="shared" si="21"/>
        <v>91.236000000000033</v>
      </c>
      <c r="E29" s="20">
        <f t="shared" ref="E29:F29" si="22">E22</f>
        <v>217.03399999999999</v>
      </c>
      <c r="F29" s="20">
        <f t="shared" si="22"/>
        <v>220.72200000000001</v>
      </c>
      <c r="G29" s="20">
        <f t="shared" ref="G29:H29" si="23">G22</f>
        <v>35.997</v>
      </c>
      <c r="H29" s="20">
        <f t="shared" si="23"/>
        <v>-15.133000000000003</v>
      </c>
      <c r="I29" s="20">
        <f t="shared" ref="I29:K29" si="24">I22</f>
        <v>60.561999999999998</v>
      </c>
      <c r="J29" s="20">
        <f t="shared" si="24"/>
        <v>99.217999999999989</v>
      </c>
      <c r="K29" s="20">
        <f t="shared" si="24"/>
        <v>21.368000000000002</v>
      </c>
      <c r="L29" s="20">
        <f t="shared" ref="L29:Y29" si="25">L22</f>
        <v>10.34399999999998</v>
      </c>
      <c r="M29" s="20">
        <f t="shared" si="25"/>
        <v>96.822000000000003</v>
      </c>
      <c r="N29" s="20">
        <f t="shared" si="25"/>
        <v>137.63000000000002</v>
      </c>
      <c r="O29" s="20">
        <f t="shared" si="25"/>
        <v>67.706000000000003</v>
      </c>
      <c r="P29" s="20">
        <f t="shared" si="25"/>
        <v>59.860000000000042</v>
      </c>
      <c r="Q29" s="20">
        <f t="shared" si="25"/>
        <v>120.602</v>
      </c>
      <c r="R29" s="20">
        <f t="shared" si="25"/>
        <v>141.869</v>
      </c>
      <c r="S29" s="20">
        <f t="shared" si="25"/>
        <v>71.855999999999995</v>
      </c>
      <c r="T29" s="20">
        <f t="shared" si="25"/>
        <v>39.201000000000001</v>
      </c>
      <c r="U29" s="20">
        <f t="shared" si="25"/>
        <v>89.546000000000006</v>
      </c>
      <c r="V29" s="20">
        <f t="shared" si="25"/>
        <v>102.99299999999999</v>
      </c>
      <c r="W29" s="20">
        <f t="shared" si="25"/>
        <v>58.222000000000001</v>
      </c>
      <c r="X29" s="20">
        <f t="shared" si="25"/>
        <v>33.301000000000016</v>
      </c>
      <c r="Y29" s="20">
        <f t="shared" si="25"/>
        <v>76.912000000000006</v>
      </c>
    </row>
    <row r="30" spans="1:25" s="11" customFormat="1" x14ac:dyDescent="0.2">
      <c r="A30" s="19" t="s">
        <v>22</v>
      </c>
      <c r="B30" s="19">
        <f>-30.656-C30</f>
        <v>-16.125999999999998</v>
      </c>
      <c r="C30" s="19">
        <v>-14.53</v>
      </c>
      <c r="D30" s="19">
        <v>-12.588000000000001</v>
      </c>
      <c r="E30" s="19">
        <f>-58.632-F30-G30</f>
        <v>-23.573</v>
      </c>
      <c r="F30" s="19">
        <f>-35.059-G30</f>
        <v>-12.103999999999999</v>
      </c>
      <c r="G30" s="19">
        <v>-22.954999999999998</v>
      </c>
      <c r="H30" s="19">
        <f>-105.776-I30-J30-K30</f>
        <v>-24.128999999999994</v>
      </c>
      <c r="I30" s="19">
        <f>-81.647-J30-K30</f>
        <v>-26.397000000000009</v>
      </c>
      <c r="J30" s="19">
        <f>-55.25-K30</f>
        <v>-28.273</v>
      </c>
      <c r="K30" s="19">
        <v>-26.977</v>
      </c>
      <c r="L30" s="19">
        <f>-94.591-M30-N30-O30</f>
        <v>-24.265000000000001</v>
      </c>
      <c r="M30" s="19">
        <f>-70.326-N30-O30</f>
        <v>-25.248999999999995</v>
      </c>
      <c r="N30" s="19">
        <f>-45.077-O30</f>
        <v>-24.744</v>
      </c>
      <c r="O30" s="19">
        <v>-20.332999999999998</v>
      </c>
      <c r="P30" s="19">
        <f>-65.202-Q30-R30-S30</f>
        <v>-17.827999999999996</v>
      </c>
      <c r="Q30" s="19">
        <f>-47.374-S30-R30</f>
        <v>-16.920000000000002</v>
      </c>
      <c r="R30" s="19">
        <f>-30.454-S30</f>
        <v>-14.644</v>
      </c>
      <c r="S30" s="19">
        <v>-15.81</v>
      </c>
      <c r="T30" s="19">
        <f>-61.889-W30-V30-U30</f>
        <v>-11.184000000000005</v>
      </c>
      <c r="U30" s="19">
        <f>-50.705-V30-W30</f>
        <v>-16.872</v>
      </c>
      <c r="V30" s="19">
        <f>-33.833-W30</f>
        <v>-18.104999999999997</v>
      </c>
      <c r="W30" s="19">
        <v>-15.728</v>
      </c>
      <c r="X30" s="19">
        <f>-57.717-(-44.555)</f>
        <v>-13.161999999999999</v>
      </c>
      <c r="Y30" s="19"/>
    </row>
    <row r="31" spans="1:25" s="11" customFormat="1" x14ac:dyDescent="0.2">
      <c r="A31" s="19" t="s">
        <v>21</v>
      </c>
      <c r="B31" s="19">
        <f>-56.151-C31</f>
        <v>-55.751000000000005</v>
      </c>
      <c r="C31" s="19">
        <v>-0.4</v>
      </c>
      <c r="D31" s="19">
        <v>-10.740000000000002</v>
      </c>
      <c r="E31" s="19">
        <f>-25.244-F31-G31</f>
        <v>-24.460999999999999</v>
      </c>
      <c r="F31" s="19">
        <f>-0.783-G31</f>
        <v>-0.73</v>
      </c>
      <c r="G31" s="19">
        <v>-5.2999999999999999E-2</v>
      </c>
      <c r="H31" s="19">
        <f>-5.9-I31-J31-K31</f>
        <v>0.14599999999999991</v>
      </c>
      <c r="I31" s="19">
        <f>-6.046-J31-K31</f>
        <v>-4.4260000000000002</v>
      </c>
      <c r="J31" s="19">
        <f>-1.62-K31</f>
        <v>-1.5010000000000001</v>
      </c>
      <c r="K31" s="19">
        <v>-0.11899999999999999</v>
      </c>
      <c r="L31" s="19">
        <f>-17.683-M31-N31-O31</f>
        <v>-0.27499999999999691</v>
      </c>
      <c r="M31" s="19">
        <f>-17.408-N31-O31</f>
        <v>-0.46599999999999941</v>
      </c>
      <c r="N31" s="19">
        <f>-16.942-O31</f>
        <v>-16.112000000000002</v>
      </c>
      <c r="O31" s="19">
        <v>-0.83</v>
      </c>
      <c r="P31" s="19">
        <f>-35.432-Q31-R31-S31</f>
        <v>-9.772000000000002</v>
      </c>
      <c r="Q31" s="19">
        <f>-25.66-S31-R31</f>
        <v>-12.122</v>
      </c>
      <c r="R31" s="19">
        <f>-13.538-S31</f>
        <v>-13.5</v>
      </c>
      <c r="S31" s="19">
        <v>-3.7999999999999999E-2</v>
      </c>
      <c r="T31" s="19">
        <f>-1.622-W31-V31-U31</f>
        <v>-0.26800000000000002</v>
      </c>
      <c r="U31" s="19">
        <f>-1.354-W31-V31</f>
        <v>-0.47400000000000009</v>
      </c>
      <c r="V31" s="19">
        <f>-0.88-W31</f>
        <v>-0.91200000000000003</v>
      </c>
      <c r="W31" s="19">
        <v>3.2000000000000001E-2</v>
      </c>
      <c r="X31" s="19">
        <f>-1.166-(-1.143)</f>
        <v>-2.2999999999999909E-2</v>
      </c>
      <c r="Y31" s="19"/>
    </row>
    <row r="32" spans="1:25" s="11" customFormat="1" x14ac:dyDescent="0.2">
      <c r="A32" s="19" t="s">
        <v>20</v>
      </c>
      <c r="B32" s="19">
        <f>-115.302-34.676+4.816+161.331-8.089+14.585-32.152+8.694-C32</f>
        <v>84.244999999999976</v>
      </c>
      <c r="C32" s="19">
        <f>-123.902-50.169+9.037+94.366+2.544-17.192+0.278</f>
        <v>-85.037999999999997</v>
      </c>
      <c r="D32" s="19">
        <f>-2.777+239.334-3.016+39.846-6.563+4.56-68.951+29.231+10.462-E32-F32-G32</f>
        <v>-261.41000000000003</v>
      </c>
      <c r="E32" s="19">
        <f>-40.886+430.622+1.475+133.084-6.563+11.406-50.286+19.718+4.966-F32-G32</f>
        <v>215.53100000000006</v>
      </c>
      <c r="F32" s="19">
        <f>-129.725+306.428+1.214+139.913-6.563+1.042-34.379+10.075-G32</f>
        <v>332.11799999999999</v>
      </c>
      <c r="G32" s="19">
        <f>-0.472-80.799+5.678+53.864-5.07-18.415+1.101</f>
        <v>-44.113000000000007</v>
      </c>
      <c r="H32" s="19">
        <f>12.217+216.111-7.951-2.764-12.586-9.425+0.708-54.403+14.759-I32-J32-K32</f>
        <v>-39.910999999999959</v>
      </c>
      <c r="I32" s="19">
        <f>-37.121+195.137+12.634+59.22-9.425+9.06-40.405+7.477-J32-K32</f>
        <v>197.07199999999995</v>
      </c>
      <c r="J32" s="19">
        <f>-79.823+25.752+7.082+80.744-9.425+0.542+1.088-27.174+0.719-K32</f>
        <v>85.859000000000009</v>
      </c>
      <c r="K32" s="19">
        <f>-65.493-54.496+4.976+55.392+0.542-5.805-13.941-7.529</f>
        <v>-86.353999999999999</v>
      </c>
      <c r="L32" s="19">
        <f>-16.55-99.61-8.29+3.942+45.23-8.914-0.488+12.448+13.767-M32-N32-O32</f>
        <v>-113.30099999999999</v>
      </c>
      <c r="M32" s="19">
        <f>-56.118-42.63+5.496+124.442-8.1-0.622+19.328+13.04-N32-O32</f>
        <v>74.36099999999999</v>
      </c>
      <c r="N32" s="19">
        <f>-86.329-35.707-3.437+97.442-8.1-0.547+8.362+8.791-O32</f>
        <v>69.407000000000011</v>
      </c>
      <c r="O32" s="19">
        <f>-63.567-153.637+5.619+122.806-0.007-0.416-1.986+2.256</f>
        <v>-88.932000000000016</v>
      </c>
      <c r="P32" s="19">
        <f>-38.019-342.78-20.244+6.585+52.155-0.203-0.091+12.943+9.315-Q32-R32-S32</f>
        <v>-222.727</v>
      </c>
      <c r="Q32" s="19">
        <f>-64.211-150.741-6.381+97.299-0.203-0.091+16.485+10.231-R32-S32</f>
        <v>-6.5090000000000146</v>
      </c>
      <c r="R32" s="19">
        <f>-70.211-104.734-3.695+74.637-0.203+0.072+6.278+6.753-S32</f>
        <v>-18.750999999999976</v>
      </c>
      <c r="S32" s="19">
        <f>-44.263-61.336+1.35+31.709+0.121-2.555+2.622</f>
        <v>-72.352000000000004</v>
      </c>
      <c r="T32" s="19">
        <f>-10.932-31.987-4.625-7.478+20.329+0.945+4.988+7.686-W32-V32-U32</f>
        <v>-121.501</v>
      </c>
      <c r="U32" s="19">
        <f>-38.415+69.698-8.324-7.478+67.935+0.286+12.849+3.876-W32-V32</f>
        <v>124.00700000000001</v>
      </c>
      <c r="V32" s="19">
        <f>-47.874-41.964-8.164-7.478+77.478-0.148+3.627+0.943-W32</f>
        <v>86.109000000000009</v>
      </c>
      <c r="W32" s="19">
        <f>-41.435-114.23-4.291+4.464+49.472-0.073-2.557-1.039</f>
        <v>-109.68900000000001</v>
      </c>
      <c r="X32" s="19">
        <f>-8.84-111.586-6.969+6.192+17.686+0.42+3.847+0.068-(-43.22-20.591-11.014+4.185+76.638-0.168+11.242+7.118)</f>
        <v>-123.37200000000001</v>
      </c>
      <c r="Y32" s="19"/>
    </row>
    <row r="33" spans="1:27"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row>
    <row r="34" spans="1:27" s="11" customFormat="1" x14ac:dyDescent="0.2">
      <c r="A34" s="19" t="s">
        <v>18</v>
      </c>
      <c r="B34" s="21">
        <f t="shared" ref="B34" si="26">B35-SUM(B29:B33)</f>
        <v>26.649000000000001</v>
      </c>
      <c r="C34" s="21">
        <f t="shared" ref="C34:D34" si="27">C35-SUM(C29:C33)</f>
        <v>-1.4909999999999997</v>
      </c>
      <c r="D34" s="21">
        <f t="shared" si="27"/>
        <v>12.652999999999935</v>
      </c>
      <c r="E34" s="21">
        <f t="shared" ref="E34:F34" si="28">E35-SUM(E29:E33)</f>
        <v>28.074000000000012</v>
      </c>
      <c r="F34" s="21">
        <f t="shared" si="28"/>
        <v>-8.9039999999999964</v>
      </c>
      <c r="G34" s="21">
        <f t="shared" ref="G34:X34" si="29">G35-SUM(G29:G33)</f>
        <v>15.935000000000006</v>
      </c>
      <c r="H34" s="21">
        <f t="shared" si="29"/>
        <v>7.8199999999999505</v>
      </c>
      <c r="I34" s="21">
        <f t="shared" si="29"/>
        <v>-3.8489999999999327</v>
      </c>
      <c r="J34" s="21">
        <f t="shared" si="29"/>
        <v>18.896000000000015</v>
      </c>
      <c r="K34" s="21">
        <f t="shared" si="29"/>
        <v>18.061999999999998</v>
      </c>
      <c r="L34" s="21">
        <f t="shared" si="29"/>
        <v>9.715999999999994</v>
      </c>
      <c r="M34" s="21">
        <f t="shared" si="29"/>
        <v>-0.51500000000001478</v>
      </c>
      <c r="N34" s="21">
        <f t="shared" si="29"/>
        <v>-9.1000000000036607E-2</v>
      </c>
      <c r="O34" s="21">
        <f t="shared" si="29"/>
        <v>-14.580999999999989</v>
      </c>
      <c r="P34" s="21">
        <f t="shared" si="29"/>
        <v>0.79999999999995453</v>
      </c>
      <c r="Q34" s="21">
        <f t="shared" si="29"/>
        <v>9.7000000000022624E-2</v>
      </c>
      <c r="R34" s="21">
        <f t="shared" si="29"/>
        <v>6.2479999999999762</v>
      </c>
      <c r="S34" s="21">
        <f t="shared" si="29"/>
        <v>3.3260000000000076</v>
      </c>
      <c r="T34" s="21">
        <f t="shared" si="29"/>
        <v>1.4350000000000307</v>
      </c>
      <c r="U34" s="21">
        <f t="shared" si="29"/>
        <v>3.1019999999999754</v>
      </c>
      <c r="V34" s="21">
        <f t="shared" si="29"/>
        <v>9.4989999999999952</v>
      </c>
      <c r="W34" s="21">
        <f t="shared" si="29"/>
        <v>4.2970000000000113</v>
      </c>
      <c r="X34" s="21">
        <f t="shared" si="29"/>
        <v>3.222999999999999</v>
      </c>
      <c r="Y34" s="21"/>
    </row>
    <row r="35" spans="1:27" s="20" customFormat="1" x14ac:dyDescent="0.2">
      <c r="A35" s="20" t="s">
        <v>17</v>
      </c>
      <c r="B35" s="20">
        <f>460.129-C35</f>
        <v>372.29700000000003</v>
      </c>
      <c r="C35" s="20">
        <v>87.831999999999994</v>
      </c>
      <c r="D35" s="20">
        <f>747.669-E35-F35-G35</f>
        <v>-180.84900000000007</v>
      </c>
      <c r="E35" s="20">
        <f>928.518-F35-G35</f>
        <v>412.60500000000008</v>
      </c>
      <c r="F35" s="20">
        <f>515.913-G35</f>
        <v>531.10199999999998</v>
      </c>
      <c r="G35" s="20">
        <v>-15.189</v>
      </c>
      <c r="H35" s="20">
        <f>251.934-I35-J35-K35</f>
        <v>-71.207000000000008</v>
      </c>
      <c r="I35" s="20">
        <f>323.141-J35-K35</f>
        <v>222.96199999999999</v>
      </c>
      <c r="J35" s="20">
        <f>100.179-K35</f>
        <v>174.19900000000001</v>
      </c>
      <c r="K35" s="20">
        <v>-74.02</v>
      </c>
      <c r="L35" s="20">
        <f>136.292-M35-N35-O35</f>
        <v>-117.78100000000001</v>
      </c>
      <c r="M35" s="20">
        <f>254.073-N35-O35</f>
        <v>144.953</v>
      </c>
      <c r="N35" s="20">
        <f>109.12-O35</f>
        <v>166.09</v>
      </c>
      <c r="O35" s="20">
        <v>-56.97</v>
      </c>
      <c r="P35" s="20">
        <f>-16.315-Q35-R35-S35</f>
        <v>-189.667</v>
      </c>
      <c r="Q35" s="20">
        <f>173.352-R35-S35</f>
        <v>85.14800000000001</v>
      </c>
      <c r="R35" s="20">
        <f>88.204-S35</f>
        <v>101.22199999999999</v>
      </c>
      <c r="S35" s="20">
        <v>-13.018000000000001</v>
      </c>
      <c r="T35" s="20">
        <v>-92.316999999999979</v>
      </c>
      <c r="U35" s="20">
        <v>199.30899999999997</v>
      </c>
      <c r="V35" s="20">
        <v>179.584</v>
      </c>
      <c r="W35" s="20">
        <v>-62.866</v>
      </c>
      <c r="X35" s="20">
        <v>-100.033</v>
      </c>
      <c r="Y35" s="20">
        <v>122.81699999999999</v>
      </c>
    </row>
    <row r="36" spans="1:27" s="11" customFormat="1" x14ac:dyDescent="0.2">
      <c r="A36" s="19" t="s">
        <v>16</v>
      </c>
      <c r="B36" s="21">
        <f>-47.184-C36</f>
        <v>-32.277999999999999</v>
      </c>
      <c r="C36" s="21">
        <v>-14.906000000000001</v>
      </c>
      <c r="D36" s="21">
        <f>-31.845-E36-F36-G36</f>
        <v>-10.317999999999998</v>
      </c>
      <c r="E36" s="21">
        <f>-20.303-1.224-F36-G36</f>
        <v>-7.8670000000000009</v>
      </c>
      <c r="F36" s="21">
        <f>-13.66-G36</f>
        <v>-4.9920000000000009</v>
      </c>
      <c r="G36" s="21">
        <v>-8.6679999999999993</v>
      </c>
      <c r="H36" s="21">
        <f>-56.789-I36-J36-K36</f>
        <v>-11.75</v>
      </c>
      <c r="I36" s="21">
        <f>-45.039-J36-K36</f>
        <v>-17.191000000000003</v>
      </c>
      <c r="J36" s="21">
        <f>-27.848-K36</f>
        <v>-16.087</v>
      </c>
      <c r="K36" s="21">
        <v>-11.760999999999999</v>
      </c>
      <c r="L36" s="21">
        <f>-133.557-M36-N36-O36</f>
        <v>-25.134999999999998</v>
      </c>
      <c r="M36" s="21">
        <f>-108.422-N36-O36</f>
        <v>-24.737000000000002</v>
      </c>
      <c r="N36" s="21">
        <f>-83.685-O36</f>
        <v>-40.416000000000004</v>
      </c>
      <c r="O36" s="21">
        <v>-43.268999999999998</v>
      </c>
      <c r="P36" s="21">
        <f>-59.559-Q36-R36-S36</f>
        <v>-13.590999999999994</v>
      </c>
      <c r="Q36" s="21">
        <f>-45.968-R36-S36</f>
        <v>-25.175999999999998</v>
      </c>
      <c r="R36" s="21">
        <f>-20.792-S36</f>
        <v>-10.763000000000002</v>
      </c>
      <c r="S36" s="21">
        <v>-10.029</v>
      </c>
      <c r="T36" s="21">
        <v>-14.064999999999998</v>
      </c>
      <c r="U36" s="21">
        <v>-8.5</v>
      </c>
      <c r="V36" s="21">
        <v>-10.193999999999999</v>
      </c>
      <c r="W36" s="21">
        <v>-7.0229999999999997</v>
      </c>
      <c r="X36" s="21">
        <v>-9.8819999999999979</v>
      </c>
      <c r="Y36" s="21">
        <v>-10.440999999999999</v>
      </c>
    </row>
    <row r="37" spans="1:27" s="20" customFormat="1" x14ac:dyDescent="0.2">
      <c r="A37" s="20" t="s">
        <v>15</v>
      </c>
      <c r="B37" s="20">
        <f t="shared" ref="B37:Y37" si="30">+B35+B36</f>
        <v>340.01900000000001</v>
      </c>
      <c r="C37" s="20">
        <f t="shared" si="30"/>
        <v>72.925999999999988</v>
      </c>
      <c r="D37" s="20">
        <f t="shared" si="30"/>
        <v>-191.16700000000009</v>
      </c>
      <c r="E37" s="20">
        <f t="shared" si="30"/>
        <v>404.73800000000006</v>
      </c>
      <c r="F37" s="20">
        <f t="shared" si="30"/>
        <v>526.11</v>
      </c>
      <c r="G37" s="20">
        <f t="shared" si="30"/>
        <v>-23.856999999999999</v>
      </c>
      <c r="H37" s="20">
        <f t="shared" si="30"/>
        <v>-82.957000000000008</v>
      </c>
      <c r="I37" s="20">
        <f t="shared" si="30"/>
        <v>205.77099999999999</v>
      </c>
      <c r="J37" s="20">
        <f t="shared" si="30"/>
        <v>158.11200000000002</v>
      </c>
      <c r="K37" s="20">
        <f t="shared" si="30"/>
        <v>-85.780999999999992</v>
      </c>
      <c r="L37" s="20">
        <f t="shared" si="30"/>
        <v>-142.916</v>
      </c>
      <c r="M37" s="20">
        <f t="shared" si="30"/>
        <v>120.21600000000001</v>
      </c>
      <c r="N37" s="20">
        <f t="shared" si="30"/>
        <v>125.67400000000001</v>
      </c>
      <c r="O37" s="20">
        <f t="shared" si="30"/>
        <v>-100.239</v>
      </c>
      <c r="P37" s="20">
        <f t="shared" si="30"/>
        <v>-203.25799999999998</v>
      </c>
      <c r="Q37" s="20">
        <f t="shared" si="30"/>
        <v>59.972000000000008</v>
      </c>
      <c r="R37" s="20">
        <f t="shared" si="30"/>
        <v>90.458999999999989</v>
      </c>
      <c r="S37" s="20">
        <f t="shared" si="30"/>
        <v>-23.047000000000001</v>
      </c>
      <c r="T37" s="20">
        <f t="shared" si="30"/>
        <v>-106.38199999999998</v>
      </c>
      <c r="U37" s="20">
        <f t="shared" si="30"/>
        <v>190.80899999999997</v>
      </c>
      <c r="V37" s="20">
        <f t="shared" si="30"/>
        <v>169.39000000000001</v>
      </c>
      <c r="W37" s="20">
        <f t="shared" si="30"/>
        <v>-69.888999999999996</v>
      </c>
      <c r="X37" s="20">
        <f t="shared" si="30"/>
        <v>-109.91499999999999</v>
      </c>
      <c r="Y37" s="20">
        <f t="shared" si="30"/>
        <v>112.37599999999999</v>
      </c>
    </row>
    <row r="39" spans="1:27" s="16" customFormat="1" x14ac:dyDescent="0.2">
      <c r="A39" s="18" t="s">
        <v>14</v>
      </c>
      <c r="B39" s="19">
        <v>20.885000000000002</v>
      </c>
      <c r="C39" s="19">
        <v>20.885000000000002</v>
      </c>
      <c r="D39" s="19">
        <v>20.885000000000002</v>
      </c>
      <c r="E39" s="19">
        <v>20.885000000000002</v>
      </c>
      <c r="F39" s="19">
        <v>20.885000000000002</v>
      </c>
      <c r="G39" s="19">
        <v>40.884999999999998</v>
      </c>
      <c r="H39" s="19">
        <v>40.854999999999997</v>
      </c>
      <c r="I39" s="19">
        <v>46.3</v>
      </c>
      <c r="J39" s="19">
        <v>52.768000000000001</v>
      </c>
      <c r="K39" s="19">
        <v>42.61</v>
      </c>
      <c r="L39" s="19">
        <v>38.738999999999997</v>
      </c>
      <c r="M39" s="19">
        <v>0</v>
      </c>
      <c r="N39" s="19">
        <v>0</v>
      </c>
      <c r="O39" s="19">
        <v>0</v>
      </c>
      <c r="P39" s="19"/>
      <c r="Q39" s="19"/>
      <c r="R39" s="19"/>
      <c r="S39" s="19"/>
      <c r="T39" s="19"/>
      <c r="U39" s="19"/>
      <c r="V39" s="19"/>
      <c r="W39" s="19"/>
      <c r="X39" s="19"/>
      <c r="Y39" s="19"/>
    </row>
    <row r="40" spans="1:27" s="16" customFormat="1" x14ac:dyDescent="0.2">
      <c r="A40" s="18" t="s">
        <v>13</v>
      </c>
      <c r="B40" s="19">
        <v>1080.9849999999999</v>
      </c>
      <c r="C40" s="19">
        <v>1132.7549999999999</v>
      </c>
      <c r="D40" s="19">
        <v>1164.8309999999999</v>
      </c>
      <c r="E40" s="19">
        <v>1164.8679999999999</v>
      </c>
      <c r="F40" s="19">
        <v>1181.0550000000001</v>
      </c>
      <c r="G40" s="19">
        <v>1165.059</v>
      </c>
      <c r="H40" s="19">
        <v>1167.636</v>
      </c>
      <c r="I40" s="19">
        <v>1170.2139999999999</v>
      </c>
      <c r="J40" s="19">
        <v>1175.989</v>
      </c>
      <c r="K40" s="19">
        <v>1163.5810000000001</v>
      </c>
      <c r="L40" s="19">
        <f>1162.334-L39</f>
        <v>1123.595</v>
      </c>
      <c r="M40" s="19">
        <v>1173.587</v>
      </c>
      <c r="N40" s="19">
        <v>1160.827</v>
      </c>
      <c r="O40" s="19">
        <v>1166.105</v>
      </c>
      <c r="P40" s="19"/>
      <c r="Q40" s="19"/>
      <c r="R40" s="19"/>
      <c r="S40" s="19"/>
      <c r="T40" s="19"/>
      <c r="U40" s="19"/>
      <c r="V40" s="19"/>
      <c r="W40" s="19"/>
      <c r="X40" s="19"/>
      <c r="Y40" s="19"/>
      <c r="AA40" s="11"/>
    </row>
    <row r="41" spans="1:27" s="16" customFormat="1" x14ac:dyDescent="0.2">
      <c r="A41" s="18" t="s">
        <v>12</v>
      </c>
      <c r="B41" s="19">
        <f>+B39+B40+485.645</f>
        <v>1587.5149999999999</v>
      </c>
      <c r="C41" s="19">
        <f>+C39+C40+539.687</f>
        <v>1693.3269999999998</v>
      </c>
      <c r="D41" s="19">
        <f>+D39+D40+522.455</f>
        <v>1708.1709999999998</v>
      </c>
      <c r="E41" s="19">
        <f>E39+E40+430.514</f>
        <v>1616.2669999999998</v>
      </c>
      <c r="F41" s="19">
        <f>F39+F40+470.871</f>
        <v>1672.8110000000001</v>
      </c>
      <c r="G41" s="19">
        <f>G39+G40+846.424</f>
        <v>2052.3679999999999</v>
      </c>
      <c r="H41" s="19">
        <f>H39+H40+848.027</f>
        <v>2056.518</v>
      </c>
      <c r="I41" s="19">
        <f>I39+I40+693.9</f>
        <v>1910.4139999999998</v>
      </c>
      <c r="J41" s="19">
        <f>J39+J40+813.635</f>
        <v>2042.3920000000001</v>
      </c>
      <c r="K41" s="19">
        <f>K39+K40+882.346</f>
        <v>2088.5370000000003</v>
      </c>
      <c r="L41" s="19">
        <f>L39+L40+885.98</f>
        <v>2048.3140000000003</v>
      </c>
      <c r="M41" s="19">
        <f>M39+M40+734.038</f>
        <v>1907.625</v>
      </c>
      <c r="N41" s="19">
        <f>N39+N40+854.588</f>
        <v>2015.415</v>
      </c>
      <c r="O41" s="19">
        <f>O39+O40+939.759</f>
        <v>2105.864</v>
      </c>
      <c r="P41" s="19"/>
      <c r="Q41" s="19"/>
      <c r="R41" s="19"/>
      <c r="S41" s="19"/>
      <c r="T41" s="19"/>
      <c r="U41" s="19"/>
      <c r="V41" s="19"/>
      <c r="W41" s="19"/>
      <c r="X41" s="19"/>
      <c r="Y41" s="19"/>
      <c r="AA41" s="11"/>
    </row>
    <row r="42" spans="1:27" s="16" customFormat="1" x14ac:dyDescent="0.2">
      <c r="A42" s="18" t="s">
        <v>11</v>
      </c>
      <c r="B42" s="17">
        <f>(45.561829+42.007663)*39.32</f>
        <v>3443.23242544</v>
      </c>
      <c r="C42" s="17">
        <f>(45.852641+42.718201+0.000001)*44.01</f>
        <v>3898.0028004299998</v>
      </c>
      <c r="D42" s="17">
        <f>(43746433+44680397+1)/1000000*36.61</f>
        <v>3237.3062829100004</v>
      </c>
      <c r="E42" s="17">
        <f>(42757321+45999132+1)/1000000*26.44</f>
        <v>2346.7206437600003</v>
      </c>
      <c r="F42" s="17">
        <f>(37887171+50706629+1)/1000000*33.46</f>
        <v>2964.3485814599999</v>
      </c>
      <c r="G42" s="17">
        <f>(37539786+50706629)/1000000*8.56</f>
        <v>755.38931239999999</v>
      </c>
      <c r="H42" s="17">
        <f>(37533138+50706629+1)/1000000*14.91</f>
        <v>1315.6549408799999</v>
      </c>
      <c r="I42" s="17">
        <f>(37396578+50706629+1)/1000000*12.28</f>
        <v>1081.9073942399998</v>
      </c>
      <c r="J42" s="17">
        <f>(37370426+50706629)/1000000*10.87</f>
        <v>957.39758784999992</v>
      </c>
      <c r="K42" s="17">
        <f>(37215759+50706629)/1000000*11.52</f>
        <v>1012.8659097599999</v>
      </c>
      <c r="L42" s="17">
        <f>(37193195+50706629+1)/1000000*12.87</f>
        <v>1131.2707477500001</v>
      </c>
      <c r="M42" s="17">
        <f>(37080756+50706629+1)/1000000*19.12</f>
        <v>1678.4948203200001</v>
      </c>
      <c r="N42" s="17">
        <f>(37008005+50706629+1)/1000000*22.21</f>
        <v>1948.14204335</v>
      </c>
      <c r="O42" s="17">
        <v>3182.9615662400001</v>
      </c>
      <c r="P42" s="17"/>
      <c r="Q42" s="17"/>
      <c r="R42" s="17"/>
      <c r="S42" s="17"/>
      <c r="T42" s="17"/>
      <c r="U42" s="17"/>
      <c r="V42" s="17"/>
      <c r="W42" s="17"/>
      <c r="X42" s="17"/>
      <c r="Y42" s="17"/>
      <c r="AA42" s="11"/>
    </row>
    <row r="43" spans="1:27" x14ac:dyDescent="0.2">
      <c r="P43" s="16"/>
      <c r="Q43" s="16"/>
      <c r="R43" s="16"/>
      <c r="S43" s="16"/>
      <c r="T43" s="16"/>
      <c r="AA43" s="16"/>
    </row>
    <row r="44" spans="1:27" x14ac:dyDescent="0.2">
      <c r="A44" s="15" t="s">
        <v>10</v>
      </c>
      <c r="B44" s="27">
        <v>191.50700000000001</v>
      </c>
      <c r="C44" s="27">
        <v>256.87</v>
      </c>
      <c r="D44" s="27">
        <v>166.072</v>
      </c>
      <c r="E44" s="27">
        <v>482.64</v>
      </c>
      <c r="F44" s="27">
        <v>227.90199999999999</v>
      </c>
      <c r="G44" s="27">
        <v>109.40600000000001</v>
      </c>
      <c r="H44" s="27">
        <v>147.52099999999999</v>
      </c>
      <c r="I44" s="27">
        <v>130.23400000000001</v>
      </c>
      <c r="J44" s="27">
        <v>101.26</v>
      </c>
      <c r="K44" s="27">
        <v>69.984999999999999</v>
      </c>
      <c r="L44" s="27">
        <v>138.55699999999999</v>
      </c>
      <c r="M44" s="27">
        <v>125.366</v>
      </c>
      <c r="N44" s="27">
        <v>212.44200000000001</v>
      </c>
      <c r="O44" s="27">
        <v>331.30099999999999</v>
      </c>
      <c r="P44" s="27"/>
      <c r="Q44" s="27"/>
      <c r="R44" s="27"/>
      <c r="S44" s="27"/>
      <c r="T44" s="27"/>
      <c r="U44" s="27"/>
      <c r="V44" s="27"/>
      <c r="W44" s="27"/>
      <c r="X44" s="27"/>
      <c r="Y44" s="27"/>
    </row>
    <row r="46" spans="1:27" x14ac:dyDescent="0.2">
      <c r="A46" s="1" t="s">
        <v>9</v>
      </c>
      <c r="B46" s="11">
        <f t="shared" ref="B46:O46" si="31">SUM(B12:E12)</f>
        <v>6432.1610000000001</v>
      </c>
      <c r="C46" s="11">
        <f t="shared" si="31"/>
        <v>5977.0990000000002</v>
      </c>
      <c r="D46" s="11">
        <f t="shared" si="31"/>
        <v>5446.5910000000003</v>
      </c>
      <c r="E46" s="11">
        <f t="shared" si="31"/>
        <v>5277.7020000000011</v>
      </c>
      <c r="F46" s="11">
        <f t="shared" si="31"/>
        <v>4986.9210000000003</v>
      </c>
      <c r="G46" s="11">
        <f t="shared" si="31"/>
        <v>4854.5230000000001</v>
      </c>
      <c r="H46" s="11">
        <f t="shared" si="31"/>
        <v>4892.0190000000002</v>
      </c>
      <c r="I46" s="11">
        <f t="shared" si="31"/>
        <v>4909.4809999999998</v>
      </c>
      <c r="J46" s="11">
        <f t="shared" si="31"/>
        <v>4830.9949999999999</v>
      </c>
      <c r="K46" s="11">
        <f t="shared" si="31"/>
        <v>4798.125</v>
      </c>
      <c r="L46" s="11">
        <f t="shared" si="31"/>
        <v>4792.0169999999998</v>
      </c>
      <c r="M46" s="11">
        <f t="shared" si="31"/>
        <v>4693.1910000000007</v>
      </c>
      <c r="N46" s="11">
        <f t="shared" si="31"/>
        <v>4619.3069999999998</v>
      </c>
      <c r="O46" s="11">
        <f t="shared" si="31"/>
        <v>4456.8559999999998</v>
      </c>
      <c r="P46" s="11"/>
      <c r="Q46" s="11"/>
      <c r="R46" s="11"/>
      <c r="S46" s="11"/>
      <c r="T46" s="11"/>
      <c r="U46" s="11"/>
      <c r="V46" s="11"/>
    </row>
    <row r="47" spans="1:27" x14ac:dyDescent="0.2">
      <c r="A47" s="1" t="s">
        <v>8</v>
      </c>
      <c r="B47" s="11">
        <f t="shared" ref="B47" si="32">+B27</f>
        <v>830.84099999999989</v>
      </c>
      <c r="C47" s="11">
        <f t="shared" ref="C47:D47" si="33">+C27</f>
        <v>718.28300000000002</v>
      </c>
      <c r="D47" s="11">
        <f t="shared" si="33"/>
        <v>564.98900000000003</v>
      </c>
      <c r="E47" s="11">
        <f t="shared" ref="E47:F47" si="34">+E27</f>
        <v>458.62</v>
      </c>
      <c r="F47" s="11">
        <f t="shared" si="34"/>
        <v>302.14799999999997</v>
      </c>
      <c r="G47" s="11">
        <f t="shared" ref="G47:H47" si="35">+G27</f>
        <v>180.64399999999998</v>
      </c>
      <c r="H47" s="11">
        <f t="shared" si="35"/>
        <v>166.01499999999999</v>
      </c>
      <c r="I47" s="11">
        <f t="shared" ref="I47:J47" si="36">+I27</f>
        <v>191.49199999999996</v>
      </c>
      <c r="J47" s="11">
        <f t="shared" si="36"/>
        <v>227.75199999999995</v>
      </c>
      <c r="K47" s="11">
        <f t="shared" ref="K47:L47" si="37">+K27</f>
        <v>266.16399999999999</v>
      </c>
      <c r="L47" s="11">
        <f t="shared" si="37"/>
        <v>312.50200000000001</v>
      </c>
      <c r="M47" s="11">
        <f t="shared" ref="M47:O47" si="38">+M27</f>
        <v>362.01800000000003</v>
      </c>
      <c r="N47" s="11">
        <f t="shared" si="38"/>
        <v>385.798</v>
      </c>
      <c r="O47" s="11">
        <f t="shared" si="38"/>
        <v>390.03700000000003</v>
      </c>
      <c r="P47" s="11"/>
      <c r="Q47" s="11"/>
      <c r="R47" s="11"/>
      <c r="S47" s="11"/>
      <c r="T47" s="11"/>
      <c r="U47" s="11"/>
      <c r="V47" s="11"/>
    </row>
    <row r="48" spans="1:27" x14ac:dyDescent="0.2">
      <c r="A48" s="1" t="s">
        <v>7</v>
      </c>
      <c r="B48" s="11">
        <f t="shared" ref="B48:O48" si="39">+SUM(B37:E37)</f>
        <v>626.51599999999996</v>
      </c>
      <c r="C48" s="11">
        <f t="shared" si="39"/>
        <v>812.60699999999997</v>
      </c>
      <c r="D48" s="11">
        <f t="shared" si="39"/>
        <v>715.82400000000007</v>
      </c>
      <c r="E48" s="11">
        <f t="shared" si="39"/>
        <v>824.03400000000011</v>
      </c>
      <c r="F48" s="11">
        <f t="shared" si="39"/>
        <v>625.06700000000001</v>
      </c>
      <c r="G48" s="11">
        <f t="shared" si="39"/>
        <v>257.06900000000002</v>
      </c>
      <c r="H48" s="11">
        <f t="shared" si="39"/>
        <v>195.14499999999998</v>
      </c>
      <c r="I48" s="11">
        <f t="shared" si="39"/>
        <v>135.18600000000004</v>
      </c>
      <c r="J48" s="11">
        <f t="shared" si="39"/>
        <v>49.631000000000043</v>
      </c>
      <c r="K48" s="11">
        <f t="shared" si="39"/>
        <v>17.193000000000012</v>
      </c>
      <c r="L48" s="11">
        <f t="shared" si="39"/>
        <v>2.7350000000000136</v>
      </c>
      <c r="M48" s="11">
        <f t="shared" si="39"/>
        <v>-57.606999999999971</v>
      </c>
      <c r="N48" s="11">
        <f t="shared" si="39"/>
        <v>-117.85099999999997</v>
      </c>
      <c r="O48" s="11">
        <f t="shared" si="39"/>
        <v>-153.06599999999997</v>
      </c>
      <c r="P48" s="11"/>
      <c r="Q48" s="11"/>
      <c r="R48" s="11"/>
      <c r="S48" s="11"/>
      <c r="T48" s="11"/>
      <c r="U48" s="11"/>
      <c r="V48" s="11"/>
    </row>
    <row r="50" spans="1:25" s="10" customFormat="1" x14ac:dyDescent="0.2">
      <c r="A50" s="10" t="s">
        <v>6</v>
      </c>
      <c r="B50" s="10">
        <f t="shared" ref="B50" si="40">+SUM(B39:B40)/B47</f>
        <v>1.3262104301545061</v>
      </c>
      <c r="C50" s="10">
        <f t="shared" ref="C50:D50" si="41">+SUM(C39:C40)/C47</f>
        <v>1.6061078989757518</v>
      </c>
      <c r="D50" s="10">
        <f t="shared" si="41"/>
        <v>2.0986532481163347</v>
      </c>
      <c r="E50" s="10">
        <f t="shared" ref="E50:F50" si="42">+SUM(E39:E40)/E47</f>
        <v>2.5854803541057954</v>
      </c>
      <c r="F50" s="10">
        <f t="shared" si="42"/>
        <v>3.9779842990852172</v>
      </c>
      <c r="G50" s="10">
        <f t="shared" ref="G50:H50" si="43">+SUM(G39:G40)/G47</f>
        <v>6.6758043444565009</v>
      </c>
      <c r="H50" s="10">
        <f t="shared" si="43"/>
        <v>7.2794084871848934</v>
      </c>
      <c r="I50" s="10">
        <f t="shared" ref="I50:J50" si="44">+SUM(I39:I40)/I47</f>
        <v>6.3528189167171485</v>
      </c>
      <c r="J50" s="10">
        <f t="shared" si="44"/>
        <v>5.395153500298572</v>
      </c>
      <c r="K50" s="10">
        <f t="shared" ref="K50:L50" si="45">+SUM(K39:K40)/K47</f>
        <v>4.531758614989255</v>
      </c>
      <c r="L50" s="10">
        <f t="shared" si="45"/>
        <v>3.7194449955520286</v>
      </c>
      <c r="M50" s="10">
        <f t="shared" ref="M50:N50" si="46">+SUM(M39:M40)/M47</f>
        <v>3.2417918446044118</v>
      </c>
      <c r="N50" s="10">
        <f t="shared" si="46"/>
        <v>3.0088984390795184</v>
      </c>
      <c r="O50" s="10">
        <f t="shared" ref="O50" si="47">+SUM(O39:O40)/O47</f>
        <v>2.9897291795393768</v>
      </c>
    </row>
    <row r="51" spans="1:25" s="10" customFormat="1" x14ac:dyDescent="0.2">
      <c r="A51" s="10" t="s">
        <v>5</v>
      </c>
      <c r="B51" s="10">
        <f t="shared" ref="B51" si="48">+B41/B47</f>
        <v>1.910732619117256</v>
      </c>
      <c r="C51" s="10">
        <f t="shared" ref="C51:D51" si="49">+C41/C47</f>
        <v>2.3574649546209501</v>
      </c>
      <c r="D51" s="10">
        <f t="shared" si="49"/>
        <v>3.0233703665027103</v>
      </c>
      <c r="E51" s="10">
        <f t="shared" ref="E51:F51" si="50">+E41/E47</f>
        <v>3.5241965025511313</v>
      </c>
      <c r="F51" s="10">
        <f t="shared" si="50"/>
        <v>5.5363960707997419</v>
      </c>
      <c r="G51" s="10">
        <f t="shared" ref="G51:H51" si="51">+G41/G47</f>
        <v>11.361395894687895</v>
      </c>
      <c r="H51" s="10">
        <f t="shared" si="51"/>
        <v>12.387543294280638</v>
      </c>
      <c r="I51" s="10">
        <f t="shared" ref="I51:J51" si="52">+I41/I47</f>
        <v>9.9764689908716822</v>
      </c>
      <c r="J51" s="10">
        <f t="shared" si="52"/>
        <v>8.9676138958165037</v>
      </c>
      <c r="K51" s="10">
        <f t="shared" ref="K51:L51" si="53">+K41/K47</f>
        <v>7.8468049773823667</v>
      </c>
      <c r="L51" s="10">
        <f t="shared" si="53"/>
        <v>6.5545628507977556</v>
      </c>
      <c r="M51" s="10">
        <f t="shared" ref="M51:O51" si="54">+M41/M47</f>
        <v>5.2694203050677038</v>
      </c>
      <c r="N51" s="10">
        <f t="shared" si="54"/>
        <v>5.2240161950036024</v>
      </c>
      <c r="O51" s="10">
        <f t="shared" si="54"/>
        <v>5.3991390560382726</v>
      </c>
    </row>
    <row r="52" spans="1:25" s="10" customFormat="1" x14ac:dyDescent="0.2">
      <c r="A52" s="10" t="s">
        <v>4</v>
      </c>
      <c r="B52" s="10">
        <f t="shared" ref="B52" si="55">+(B41-B44)/B47</f>
        <v>1.680234846378549</v>
      </c>
      <c r="C52" s="10">
        <f t="shared" ref="C52:D52" si="56">+(C41-C44)/C47</f>
        <v>1.9998482492276719</v>
      </c>
      <c r="D52" s="10">
        <f t="shared" si="56"/>
        <v>2.7294319004440788</v>
      </c>
      <c r="E52" s="10">
        <f t="shared" ref="E52:F52" si="57">+(E41-E44)/E47</f>
        <v>2.4718219877022372</v>
      </c>
      <c r="F52" s="10">
        <f t="shared" si="57"/>
        <v>4.7821233302884689</v>
      </c>
      <c r="G52" s="10">
        <f t="shared" ref="G52:H52" si="58">+(G41-G44)/G47</f>
        <v>10.755751644117714</v>
      </c>
      <c r="H52" s="10">
        <f t="shared" si="58"/>
        <v>11.49894286660844</v>
      </c>
      <c r="I52" s="10">
        <f t="shared" ref="I52:J52" si="59">+(I41-I44)/I47</f>
        <v>9.2963674722703828</v>
      </c>
      <c r="J52" s="10">
        <f t="shared" si="59"/>
        <v>8.5230074818223347</v>
      </c>
      <c r="K52" s="10">
        <f t="shared" ref="K52:L52" si="60">+(K41-K44)/K47</f>
        <v>7.5838655866308011</v>
      </c>
      <c r="L52" s="10">
        <f t="shared" si="60"/>
        <v>6.1111832884269548</v>
      </c>
      <c r="M52" s="10">
        <f t="shared" ref="M52:O52" si="61">+(M41-M44)/M47</f>
        <v>4.9231226071631795</v>
      </c>
      <c r="N52" s="10">
        <f t="shared" si="61"/>
        <v>4.6733601522040029</v>
      </c>
      <c r="O52" s="10">
        <f t="shared" si="61"/>
        <v>4.5497298974199882</v>
      </c>
    </row>
    <row r="53" spans="1:25" s="6" customFormat="1" x14ac:dyDescent="0.2">
      <c r="A53" s="6" t="s">
        <v>3</v>
      </c>
      <c r="B53" s="6">
        <f t="shared" ref="B53" si="62">+B48/B41</f>
        <v>0.39465201903604064</v>
      </c>
      <c r="C53" s="6">
        <f t="shared" ref="C53:D53" si="63">+C48/C41</f>
        <v>0.47988781847806128</v>
      </c>
      <c r="D53" s="6">
        <f t="shared" si="63"/>
        <v>0.4190587476312384</v>
      </c>
      <c r="E53" s="6">
        <f t="shared" ref="E53:F53" si="64">+E48/E41</f>
        <v>0.50983779288941755</v>
      </c>
      <c r="F53" s="6">
        <f t="shared" si="64"/>
        <v>0.37366265525513637</v>
      </c>
      <c r="G53" s="6">
        <f t="shared" ref="G53:H53" si="65">+G48/G41</f>
        <v>0.12525482759427162</v>
      </c>
      <c r="H53" s="6">
        <f t="shared" si="65"/>
        <v>9.4890975911710945E-2</v>
      </c>
      <c r="I53" s="6">
        <f t="shared" ref="I53:J53" si="66">+I48/I41</f>
        <v>7.0762672384101069E-2</v>
      </c>
      <c r="J53" s="6">
        <f t="shared" si="66"/>
        <v>2.4300428125452921E-2</v>
      </c>
      <c r="K53" s="6">
        <f t="shared" ref="K53:L53" si="67">+K48/K41</f>
        <v>8.2320782442446595E-3</v>
      </c>
      <c r="L53" s="6">
        <f t="shared" si="67"/>
        <v>1.33524449864621E-3</v>
      </c>
      <c r="M53" s="6">
        <f t="shared" ref="M53:O53" si="68">+M48/M41</f>
        <v>-3.0198283205556634E-2</v>
      </c>
      <c r="N53" s="6">
        <f t="shared" si="68"/>
        <v>-5.8474805437093588E-2</v>
      </c>
      <c r="O53" s="6">
        <f t="shared" si="68"/>
        <v>-7.2685605528182248E-2</v>
      </c>
    </row>
    <row r="54" spans="1:25" s="6" customFormat="1" x14ac:dyDescent="0.2">
      <c r="A54" s="8" t="s">
        <v>2</v>
      </c>
      <c r="B54" s="9"/>
      <c r="C54" s="9"/>
      <c r="D54" s="9"/>
      <c r="E54" s="9"/>
      <c r="F54" s="9"/>
      <c r="G54" s="9"/>
      <c r="H54" s="9"/>
      <c r="I54" s="9"/>
      <c r="J54" s="9"/>
      <c r="K54" s="9"/>
      <c r="L54" s="9"/>
      <c r="M54" s="9"/>
      <c r="N54" s="9"/>
      <c r="O54" s="9"/>
      <c r="P54" s="9"/>
      <c r="Q54" s="9"/>
      <c r="R54" s="9"/>
      <c r="S54" s="9"/>
      <c r="T54" s="9"/>
      <c r="U54" s="9"/>
      <c r="V54" s="9"/>
      <c r="W54" s="8"/>
      <c r="X54" s="8"/>
      <c r="Y54" s="8"/>
    </row>
    <row r="55" spans="1:25" s="6" customFormat="1" x14ac:dyDescent="0.2">
      <c r="A55" s="6" t="s">
        <v>1</v>
      </c>
      <c r="B55" s="7">
        <f t="shared" ref="B55" si="69">IF(B42=0,IF(B54="","","*"&amp;TEXT(B54,"0.0x")),(B41+B42-B44)/B47)</f>
        <v>5.8245084504014626</v>
      </c>
      <c r="C55" s="7">
        <f t="shared" ref="C55:D55" si="70">IF(C42=0,IF(C54="","","*"&amp;TEXT(C54,"0.0x")),(C41+C42-C44)/C47)</f>
        <v>7.4266825198842232</v>
      </c>
      <c r="D55" s="7">
        <f t="shared" si="70"/>
        <v>8.4592890886548222</v>
      </c>
      <c r="E55" s="7">
        <f t="shared" ref="E55:F55" si="71">IF(E42=0,IF(E54="","","*"&amp;TEXT(E54,"0.0x")),(E41+E42-E44)/E47)</f>
        <v>7.5887393566787322</v>
      </c>
      <c r="F55" s="7">
        <f t="shared" si="71"/>
        <v>14.593039111495031</v>
      </c>
      <c r="G55" s="7">
        <f t="shared" ref="G55:H55" si="72">IF(G42=0,IF(G54="","","*"&amp;TEXT(G54,"0.0x")),(G41+G42-G44)/G47)</f>
        <v>14.937397934058151</v>
      </c>
      <c r="H55" s="7">
        <f t="shared" si="72"/>
        <v>19.423858933710811</v>
      </c>
      <c r="I55" s="7">
        <f t="shared" ref="I55:J55" si="73">IF(I42=0,IF(I54="","","*"&amp;TEXT(I54,"0.0x")),(I41+I42-I44)/I47)</f>
        <v>14.946250466024692</v>
      </c>
      <c r="J55" s="7">
        <f t="shared" si="73"/>
        <v>12.726692138159052</v>
      </c>
      <c r="K55" s="7">
        <f t="shared" ref="K55:L55" si="74">IF(K42=0,IF(K54="","","*"&amp;TEXT(K54,"0.0x")),(K41+K42-K44)/K47)</f>
        <v>11.389285965645241</v>
      </c>
      <c r="L55" s="7">
        <f t="shared" si="74"/>
        <v>9.7312265129503182</v>
      </c>
      <c r="M55" s="7">
        <f t="shared" ref="M55:O55" si="75">IF(M42=0,IF(M54="","","*"&amp;TEXT(M54,"0.0x")),(M41+M42-M44)/M47)</f>
        <v>9.5596180861725113</v>
      </c>
      <c r="N55" s="7">
        <f t="shared" si="75"/>
        <v>9.7230028236279082</v>
      </c>
      <c r="O55" s="7">
        <f t="shared" si="75"/>
        <v>12.710395593853915</v>
      </c>
      <c r="P55" s="7"/>
      <c r="Q55" s="7"/>
      <c r="R55" s="7"/>
      <c r="S55" s="7"/>
      <c r="T55" s="7"/>
      <c r="U55" s="7"/>
      <c r="V55" s="7"/>
      <c r="W55" s="7"/>
      <c r="X55" s="7" t="str">
        <f>IF(X42=0,IF(X54="","",CONCATENATE("* ",X54,"x")),(X41+X42-X44)/X47)</f>
        <v/>
      </c>
      <c r="Y55" s="7" t="str">
        <f>IF(Y42=0,IF(Y54="","",CONCATENATE("* ",Y54,"x")),(Y41+Y42-Y44)/Y47)</f>
        <v/>
      </c>
    </row>
    <row r="56" spans="1:25" x14ac:dyDescent="0.2">
      <c r="V56" s="3"/>
    </row>
    <row r="57" spans="1:25" ht="80.25" customHeight="1" x14ac:dyDescent="0.2">
      <c r="A57" s="5" t="s">
        <v>0</v>
      </c>
      <c r="B57" s="4" t="s">
        <v>236</v>
      </c>
      <c r="C57" s="4" t="s">
        <v>236</v>
      </c>
      <c r="D57" s="4" t="s">
        <v>279</v>
      </c>
      <c r="E57" s="4" t="s">
        <v>236</v>
      </c>
      <c r="F57" s="4" t="s">
        <v>236</v>
      </c>
      <c r="G57" s="4" t="s">
        <v>236</v>
      </c>
      <c r="H57" s="4" t="s">
        <v>279</v>
      </c>
      <c r="I57" s="4" t="s">
        <v>236</v>
      </c>
      <c r="J57" s="4" t="s">
        <v>236</v>
      </c>
      <c r="K57" s="4" t="s">
        <v>236</v>
      </c>
      <c r="L57" s="4" t="s">
        <v>279</v>
      </c>
      <c r="M57" s="4" t="s">
        <v>236</v>
      </c>
      <c r="N57" s="4"/>
      <c r="O57" s="4" t="s">
        <v>136</v>
      </c>
      <c r="P57" s="4"/>
      <c r="Q57" s="4"/>
      <c r="R57" s="4"/>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L22 P22" formula="1"/>
  </ignoredError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2B227-E001-4FF6-A7CE-AB65F371E5B3}">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636</v>
      </c>
    </row>
    <row r="3" spans="1:9" s="35" customFormat="1" x14ac:dyDescent="0.2">
      <c r="A3" s="36" t="s">
        <v>43</v>
      </c>
      <c r="B3" s="35" t="s">
        <v>637</v>
      </c>
    </row>
    <row r="4" spans="1:9" x14ac:dyDescent="0.2">
      <c r="A4" s="34" t="s">
        <v>41</v>
      </c>
      <c r="B4" s="1" t="s">
        <v>40</v>
      </c>
    </row>
    <row r="5" spans="1:9" x14ac:dyDescent="0.2">
      <c r="A5" s="34" t="s">
        <v>39</v>
      </c>
    </row>
    <row r="6" spans="1:9" x14ac:dyDescent="0.2">
      <c r="A6" s="34" t="s">
        <v>38</v>
      </c>
      <c r="B6" s="1">
        <v>3</v>
      </c>
    </row>
    <row r="7" spans="1:9" x14ac:dyDescent="0.2">
      <c r="A7" s="34" t="s">
        <v>37</v>
      </c>
      <c r="B7" s="1" t="s">
        <v>422</v>
      </c>
    </row>
    <row r="8" spans="1:9" x14ac:dyDescent="0.2">
      <c r="A8" s="34" t="s">
        <v>281</v>
      </c>
      <c r="B8" s="1" t="s">
        <v>638</v>
      </c>
    </row>
    <row r="9" spans="1:9" x14ac:dyDescent="0.2">
      <c r="A9" s="22"/>
    </row>
    <row r="10" spans="1:9" x14ac:dyDescent="0.2">
      <c r="A10" s="22" t="s">
        <v>36</v>
      </c>
      <c r="B10" s="33">
        <v>44286</v>
      </c>
      <c r="C10" s="33">
        <f>EOMONTH(B10,-3)</f>
        <v>44196</v>
      </c>
      <c r="D10" s="33">
        <f t="shared" ref="D10:I10" si="0">EOMONTH(C10,-3)</f>
        <v>44104</v>
      </c>
      <c r="E10" s="33">
        <f t="shared" si="0"/>
        <v>44012</v>
      </c>
      <c r="F10" s="33">
        <f t="shared" si="0"/>
        <v>43921</v>
      </c>
      <c r="G10" s="33">
        <f t="shared" si="0"/>
        <v>43830</v>
      </c>
      <c r="H10" s="33">
        <f t="shared" si="0"/>
        <v>43738</v>
      </c>
      <c r="I10" s="33">
        <f t="shared" si="0"/>
        <v>43646</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650</v>
      </c>
      <c r="C40" s="19"/>
      <c r="D40" s="19"/>
      <c r="E40" s="19"/>
      <c r="F40" s="19"/>
      <c r="G40" s="19"/>
      <c r="H40" s="19"/>
      <c r="I40" s="19"/>
    </row>
    <row r="41" spans="1:9" s="16" customFormat="1" x14ac:dyDescent="0.2">
      <c r="A41" s="18" t="s">
        <v>12</v>
      </c>
      <c r="B41" s="19">
        <f>B39+B40</f>
        <v>650</v>
      </c>
      <c r="C41" s="19"/>
      <c r="D41" s="19"/>
      <c r="E41" s="19"/>
      <c r="F41" s="19"/>
      <c r="G41" s="19"/>
      <c r="H41" s="19"/>
      <c r="I41" s="19"/>
    </row>
    <row r="42" spans="1:9" s="16" customFormat="1" x14ac:dyDescent="0.2">
      <c r="A42" s="18" t="s">
        <v>11</v>
      </c>
      <c r="B42" s="17">
        <v>4387</v>
      </c>
      <c r="C42" s="17"/>
      <c r="D42" s="17"/>
      <c r="E42" s="17"/>
      <c r="F42" s="17"/>
      <c r="G42" s="17"/>
      <c r="H42" s="17"/>
      <c r="I42" s="17"/>
    </row>
    <row r="43" spans="1:9" x14ac:dyDescent="0.2">
      <c r="B43" s="16"/>
      <c r="C43" s="16"/>
      <c r="D43" s="16"/>
    </row>
    <row r="44" spans="1:9" x14ac:dyDescent="0.2">
      <c r="A44" s="15" t="s">
        <v>10</v>
      </c>
      <c r="B44" s="27">
        <v>92</v>
      </c>
      <c r="C44" s="27"/>
      <c r="D44" s="27"/>
      <c r="E44" s="27"/>
      <c r="F44" s="27"/>
      <c r="G44" s="27"/>
      <c r="H44" s="14"/>
      <c r="I44" s="14"/>
    </row>
    <row r="46" spans="1:9" x14ac:dyDescent="0.2">
      <c r="A46" s="1" t="s">
        <v>9</v>
      </c>
      <c r="B46" s="12">
        <v>1474</v>
      </c>
      <c r="C46" s="11"/>
      <c r="D46" s="11"/>
      <c r="E46" s="11"/>
      <c r="F46" s="11"/>
    </row>
    <row r="47" spans="1:9" x14ac:dyDescent="0.2">
      <c r="A47" s="1" t="s">
        <v>8</v>
      </c>
      <c r="B47" s="12">
        <v>259</v>
      </c>
      <c r="C47" s="11"/>
      <c r="D47" s="11"/>
      <c r="E47" s="11"/>
      <c r="F47" s="11"/>
    </row>
    <row r="48" spans="1:9" x14ac:dyDescent="0.2">
      <c r="A48" s="1" t="s">
        <v>7</v>
      </c>
      <c r="B48" s="12">
        <v>176.51499999999999</v>
      </c>
      <c r="C48" s="11"/>
      <c r="D48" s="11"/>
      <c r="E48" s="11"/>
      <c r="F48" s="11"/>
    </row>
    <row r="50" spans="1:9" s="10" customFormat="1" x14ac:dyDescent="0.2">
      <c r="A50" s="10" t="s">
        <v>6</v>
      </c>
      <c r="B50" s="10">
        <f>+SUM(B39:B40)/B47</f>
        <v>2.5096525096525095</v>
      </c>
    </row>
    <row r="51" spans="1:9" s="10" customFormat="1" x14ac:dyDescent="0.2">
      <c r="A51" s="10" t="s">
        <v>5</v>
      </c>
      <c r="B51" s="10">
        <f>+B41/B47</f>
        <v>2.5096525096525095</v>
      </c>
    </row>
    <row r="52" spans="1:9" s="10" customFormat="1" x14ac:dyDescent="0.2">
      <c r="A52" s="10" t="s">
        <v>4</v>
      </c>
      <c r="B52" s="10">
        <f>+(B41-B44)/B47</f>
        <v>2.1544401544401546</v>
      </c>
    </row>
    <row r="53" spans="1:9" s="6" customFormat="1" x14ac:dyDescent="0.2">
      <c r="A53" s="6" t="s">
        <v>3</v>
      </c>
      <c r="B53" s="6">
        <f>+B48/B41</f>
        <v>0.27156153846153847</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19.092664092664094</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F5B4-7A86-42D3-A1E3-414C1F93B9C5}">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639</v>
      </c>
    </row>
    <row r="3" spans="1:10" s="35" customFormat="1" x14ac:dyDescent="0.2">
      <c r="A3" s="36" t="s">
        <v>43</v>
      </c>
      <c r="B3" s="35" t="s">
        <v>640</v>
      </c>
    </row>
    <row r="4" spans="1:10" x14ac:dyDescent="0.2">
      <c r="A4" s="34" t="s">
        <v>41</v>
      </c>
      <c r="B4" s="1" t="s">
        <v>40</v>
      </c>
    </row>
    <row r="5" spans="1:10" x14ac:dyDescent="0.2">
      <c r="A5" s="34" t="s">
        <v>39</v>
      </c>
    </row>
    <row r="6" spans="1:10" x14ac:dyDescent="0.2">
      <c r="A6" s="34" t="s">
        <v>38</v>
      </c>
      <c r="B6" s="1" t="s">
        <v>83</v>
      </c>
    </row>
    <row r="7" spans="1:10" x14ac:dyDescent="0.2">
      <c r="A7" s="34" t="s">
        <v>37</v>
      </c>
      <c r="B7" s="1" t="s">
        <v>529</v>
      </c>
    </row>
    <row r="8" spans="1:10" x14ac:dyDescent="0.2">
      <c r="A8" s="34" t="s">
        <v>281</v>
      </c>
      <c r="B8" s="1" t="s">
        <v>285</v>
      </c>
    </row>
    <row r="9" spans="1:10" x14ac:dyDescent="0.2">
      <c r="A9" s="22"/>
    </row>
    <row r="10" spans="1:10" x14ac:dyDescent="0.2">
      <c r="A10" s="22" t="s">
        <v>36</v>
      </c>
      <c r="B10" s="33">
        <v>44286</v>
      </c>
      <c r="C10" s="33">
        <f>EOMONTH(B10,-3)</f>
        <v>44196</v>
      </c>
      <c r="D10" s="33">
        <f t="shared" ref="D10:J10" si="0">EOMONTH(C10,-3)</f>
        <v>44104</v>
      </c>
      <c r="E10" s="33">
        <f t="shared" si="0"/>
        <v>44012</v>
      </c>
      <c r="F10" s="33">
        <f t="shared" si="0"/>
        <v>43921</v>
      </c>
      <c r="G10" s="33">
        <f t="shared" si="0"/>
        <v>43830</v>
      </c>
      <c r="H10" s="33">
        <f t="shared" si="0"/>
        <v>43738</v>
      </c>
      <c r="I10" s="33">
        <f t="shared" si="0"/>
        <v>43646</v>
      </c>
      <c r="J10" s="33">
        <f t="shared" si="0"/>
        <v>43555</v>
      </c>
    </row>
    <row r="12" spans="1:10" x14ac:dyDescent="0.2">
      <c r="A12" s="15" t="s">
        <v>35</v>
      </c>
      <c r="B12" s="19"/>
      <c r="C12" s="19">
        <v>722.86200000000008</v>
      </c>
      <c r="D12" s="19">
        <v>560.99099999999999</v>
      </c>
      <c r="E12" s="19">
        <v>375.92899999999997</v>
      </c>
      <c r="F12" s="19">
        <v>402.904</v>
      </c>
      <c r="G12" s="19">
        <v>646.81100000000015</v>
      </c>
      <c r="H12" s="19">
        <v>489.43599999999998</v>
      </c>
      <c r="I12" s="19">
        <v>420.72800000000001</v>
      </c>
      <c r="J12" s="19">
        <v>439.53</v>
      </c>
    </row>
    <row r="13" spans="1:10" s="28" customFormat="1" x14ac:dyDescent="0.2">
      <c r="A13" s="28" t="s">
        <v>34</v>
      </c>
      <c r="C13" s="28">
        <f t="shared" ref="C13:E13" si="1">+C12/G12-1</f>
        <v>0.11757839616209353</v>
      </c>
      <c r="D13" s="28">
        <f t="shared" si="1"/>
        <v>0.14619889015111265</v>
      </c>
      <c r="E13" s="28">
        <f t="shared" si="1"/>
        <v>-0.10647972086478685</v>
      </c>
    </row>
    <row r="14" spans="1:10" s="23" customFormat="1" x14ac:dyDescent="0.2">
      <c r="A14" s="31" t="s">
        <v>33</v>
      </c>
      <c r="B14" s="32"/>
      <c r="C14" s="32" t="s">
        <v>32</v>
      </c>
      <c r="D14" s="32" t="s">
        <v>32</v>
      </c>
      <c r="E14" s="32" t="s">
        <v>32</v>
      </c>
      <c r="F14" s="31"/>
      <c r="G14" s="31"/>
      <c r="H14" s="31"/>
      <c r="I14" s="31"/>
      <c r="J14" s="31"/>
    </row>
    <row r="16" spans="1:10" s="22" customFormat="1" x14ac:dyDescent="0.2">
      <c r="A16" s="30" t="s">
        <v>31</v>
      </c>
      <c r="B16" s="29"/>
      <c r="C16" s="29">
        <v>125.22025000000002</v>
      </c>
      <c r="D16" s="29">
        <v>72.718249999999983</v>
      </c>
      <c r="E16" s="29">
        <v>29.232249999999972</v>
      </c>
      <c r="F16" s="29">
        <v>16.029250000000005</v>
      </c>
      <c r="G16" s="29">
        <v>83.49925000000016</v>
      </c>
      <c r="H16" s="29">
        <v>42.231249999999932</v>
      </c>
      <c r="I16" s="29">
        <v>22.186250000000008</v>
      </c>
      <c r="J16" s="29">
        <v>43.283249999999924</v>
      </c>
    </row>
    <row r="17" spans="1:10" s="28" customFormat="1" x14ac:dyDescent="0.2">
      <c r="A17" s="28" t="s">
        <v>30</v>
      </c>
      <c r="C17" s="28">
        <f t="shared" ref="C17:I17" si="2">+C16/C12</f>
        <v>0.17322843087615619</v>
      </c>
      <c r="D17" s="28">
        <f t="shared" si="2"/>
        <v>0.12962462855910342</v>
      </c>
      <c r="E17" s="28">
        <f t="shared" si="2"/>
        <v>7.7760029154441329E-2</v>
      </c>
      <c r="F17" s="28">
        <f t="shared" si="2"/>
        <v>3.97842910469988E-2</v>
      </c>
      <c r="G17" s="28">
        <f t="shared" si="2"/>
        <v>0.12909373835633614</v>
      </c>
      <c r="H17" s="28">
        <f t="shared" si="2"/>
        <v>8.6285540908310657E-2</v>
      </c>
      <c r="I17" s="28">
        <f t="shared" si="2"/>
        <v>5.2733000893689055E-2</v>
      </c>
      <c r="J17" s="28">
        <f t="shared" ref="J17" si="3">+J16/J12</f>
        <v>9.8476213227765855E-2</v>
      </c>
    </row>
    <row r="18" spans="1:10" s="23" customFormat="1" x14ac:dyDescent="0.2"/>
    <row r="19" spans="1:10" s="23" customFormat="1" x14ac:dyDescent="0.2">
      <c r="A19" s="15" t="s">
        <v>29</v>
      </c>
      <c r="B19" s="19"/>
      <c r="C19" s="19">
        <v>0</v>
      </c>
      <c r="D19" s="19">
        <v>0</v>
      </c>
      <c r="E19" s="19">
        <v>0</v>
      </c>
      <c r="F19" s="19">
        <v>0</v>
      </c>
      <c r="G19" s="19">
        <v>0</v>
      </c>
      <c r="H19" s="19">
        <v>0</v>
      </c>
      <c r="I19" s="19">
        <v>0</v>
      </c>
      <c r="J19" s="19">
        <v>0</v>
      </c>
    </row>
    <row r="20" spans="1:10" s="23" customFormat="1" x14ac:dyDescent="0.2">
      <c r="A20" s="15" t="s">
        <v>28</v>
      </c>
      <c r="B20" s="19"/>
      <c r="C20" s="19">
        <v>0</v>
      </c>
      <c r="D20" s="19">
        <v>0</v>
      </c>
      <c r="E20" s="19">
        <v>0</v>
      </c>
      <c r="F20" s="19">
        <v>0</v>
      </c>
      <c r="G20" s="19">
        <v>0</v>
      </c>
      <c r="H20" s="19">
        <v>0</v>
      </c>
      <c r="I20" s="19">
        <v>0</v>
      </c>
      <c r="J20" s="19">
        <v>0</v>
      </c>
    </row>
    <row r="21" spans="1:10" s="23" customFormat="1" x14ac:dyDescent="0.2">
      <c r="A21" s="15" t="s">
        <v>18</v>
      </c>
      <c r="B21" s="19"/>
      <c r="C21" s="19">
        <v>0</v>
      </c>
      <c r="D21" s="19">
        <v>0</v>
      </c>
      <c r="E21" s="19">
        <v>0</v>
      </c>
      <c r="F21" s="19">
        <v>0</v>
      </c>
      <c r="G21" s="19">
        <v>0</v>
      </c>
      <c r="H21" s="19">
        <v>0</v>
      </c>
      <c r="I21" s="19">
        <v>0</v>
      </c>
      <c r="J21" s="19">
        <v>0</v>
      </c>
    </row>
    <row r="22" spans="1:10" s="22" customFormat="1" x14ac:dyDescent="0.2">
      <c r="A22" s="22" t="s">
        <v>23</v>
      </c>
      <c r="B22" s="20"/>
      <c r="C22" s="20">
        <f t="shared" ref="C22:I22" si="4">SUM(C16,C19:C21)</f>
        <v>125.22025000000002</v>
      </c>
      <c r="D22" s="20">
        <f t="shared" si="4"/>
        <v>72.718249999999983</v>
      </c>
      <c r="E22" s="20">
        <f t="shared" si="4"/>
        <v>29.232249999999972</v>
      </c>
      <c r="F22" s="20">
        <f t="shared" si="4"/>
        <v>16.029250000000005</v>
      </c>
      <c r="G22" s="20">
        <f t="shared" si="4"/>
        <v>83.49925000000016</v>
      </c>
      <c r="H22" s="20">
        <f t="shared" si="4"/>
        <v>42.231249999999932</v>
      </c>
      <c r="I22" s="20">
        <f t="shared" si="4"/>
        <v>22.186250000000008</v>
      </c>
      <c r="J22" s="20">
        <f t="shared" ref="J22" si="5">SUM(J16,J19:J21)</f>
        <v>43.283249999999924</v>
      </c>
    </row>
    <row r="23" spans="1:10" s="22" customFormat="1" x14ac:dyDescent="0.2">
      <c r="B23" s="20"/>
      <c r="C23" s="20"/>
      <c r="D23" s="20"/>
      <c r="E23" s="20"/>
      <c r="F23" s="20"/>
      <c r="G23" s="20"/>
      <c r="H23" s="20"/>
      <c r="I23" s="20"/>
      <c r="J23" s="20"/>
    </row>
    <row r="24" spans="1:10" s="22" customFormat="1" x14ac:dyDescent="0.2">
      <c r="A24" s="22" t="s">
        <v>27</v>
      </c>
      <c r="B24" s="20"/>
      <c r="C24" s="20">
        <f t="shared" ref="C24:E24" si="6">SUM(C22:F22)</f>
        <v>243.2</v>
      </c>
      <c r="D24" s="20">
        <f t="shared" si="6"/>
        <v>201.4790000000001</v>
      </c>
      <c r="E24" s="20">
        <f t="shared" si="6"/>
        <v>170.99200000000008</v>
      </c>
      <c r="F24" s="20"/>
      <c r="G24" s="20"/>
      <c r="H24" s="20"/>
      <c r="I24" s="20"/>
      <c r="J24" s="20"/>
    </row>
    <row r="25" spans="1:10" s="23" customFormat="1" x14ac:dyDescent="0.2">
      <c r="A25" s="15" t="s">
        <v>26</v>
      </c>
      <c r="B25" s="27"/>
      <c r="C25" s="27">
        <v>0</v>
      </c>
      <c r="D25" s="27">
        <v>0</v>
      </c>
      <c r="E25" s="27">
        <v>0</v>
      </c>
      <c r="F25" s="27"/>
      <c r="G25" s="27"/>
      <c r="H25" s="27"/>
      <c r="I25" s="27"/>
      <c r="J25" s="27"/>
    </row>
    <row r="26" spans="1:10" s="23" customFormat="1" x14ac:dyDescent="0.2">
      <c r="A26" s="15" t="s">
        <v>25</v>
      </c>
      <c r="B26" s="21"/>
      <c r="C26" s="21">
        <v>0</v>
      </c>
      <c r="D26" s="21">
        <v>0</v>
      </c>
      <c r="E26" s="21">
        <v>0</v>
      </c>
      <c r="F26" s="21"/>
      <c r="G26" s="26"/>
      <c r="H26" s="26"/>
      <c r="I26" s="26"/>
      <c r="J26" s="26"/>
    </row>
    <row r="27" spans="1:10" s="24" customFormat="1" x14ac:dyDescent="0.2">
      <c r="A27" s="22" t="s">
        <v>24</v>
      </c>
      <c r="B27" s="20"/>
      <c r="C27" s="20">
        <f t="shared" ref="C27:E27" si="7">SUM(C24:C26)</f>
        <v>243.2</v>
      </c>
      <c r="D27" s="20">
        <f t="shared" si="7"/>
        <v>201.4790000000001</v>
      </c>
      <c r="E27" s="20">
        <f t="shared" si="7"/>
        <v>170.99200000000008</v>
      </c>
      <c r="F27" s="20"/>
      <c r="G27" s="25"/>
      <c r="H27" s="25"/>
      <c r="I27" s="25"/>
      <c r="J27" s="25"/>
    </row>
    <row r="28" spans="1:10" s="23" customFormat="1" x14ac:dyDescent="0.2"/>
    <row r="29" spans="1:10" s="22" customFormat="1" x14ac:dyDescent="0.2">
      <c r="A29" s="22" t="s">
        <v>23</v>
      </c>
      <c r="B29" s="20"/>
      <c r="C29" s="20">
        <f t="shared" ref="C29:I29" si="8">C22</f>
        <v>125.22025000000002</v>
      </c>
      <c r="D29" s="20">
        <f t="shared" si="8"/>
        <v>72.718249999999983</v>
      </c>
      <c r="E29" s="20">
        <f t="shared" si="8"/>
        <v>29.232249999999972</v>
      </c>
      <c r="F29" s="20">
        <f t="shared" si="8"/>
        <v>16.029250000000005</v>
      </c>
      <c r="G29" s="20">
        <f t="shared" si="8"/>
        <v>83.49925000000016</v>
      </c>
      <c r="H29" s="20">
        <f t="shared" si="8"/>
        <v>42.231249999999932</v>
      </c>
      <c r="I29" s="20">
        <f t="shared" si="8"/>
        <v>22.186250000000008</v>
      </c>
      <c r="J29" s="20">
        <f t="shared" ref="J29" si="9">J22</f>
        <v>43.283249999999924</v>
      </c>
    </row>
    <row r="30" spans="1:10" s="11" customFormat="1" x14ac:dyDescent="0.2">
      <c r="A30" s="19" t="s">
        <v>22</v>
      </c>
      <c r="B30" s="19"/>
      <c r="C30" s="19">
        <v>-0.83899999999999997</v>
      </c>
      <c r="D30" s="19">
        <v>-0.66999999999999993</v>
      </c>
      <c r="E30" s="19">
        <v>-0.83799999999999997</v>
      </c>
      <c r="F30" s="19">
        <v>-0.93200000000000005</v>
      </c>
      <c r="G30" s="19">
        <v>-1.4759999999999998</v>
      </c>
      <c r="H30" s="19">
        <v>-0.83900000000000019</v>
      </c>
      <c r="I30" s="19">
        <v>-0.73099999999999987</v>
      </c>
      <c r="J30" s="19">
        <v>-0.39500000000000002</v>
      </c>
    </row>
    <row r="31" spans="1:10" s="11" customFormat="1" x14ac:dyDescent="0.2">
      <c r="A31" s="19" t="s">
        <v>21</v>
      </c>
      <c r="B31" s="19"/>
      <c r="C31" s="19">
        <v>0.49800000000000111</v>
      </c>
      <c r="D31" s="19">
        <v>-3.9310000000000009</v>
      </c>
      <c r="E31" s="19">
        <v>-1.6639999999999997</v>
      </c>
      <c r="F31" s="19">
        <v>-10.006</v>
      </c>
      <c r="G31" s="19">
        <v>-3.0460000000000029</v>
      </c>
      <c r="H31" s="19">
        <v>-2.5599999999999987</v>
      </c>
      <c r="I31" s="19">
        <v>-13.401</v>
      </c>
      <c r="J31" s="19">
        <v>-2.0289999999999999</v>
      </c>
    </row>
    <row r="32" spans="1:10" s="11" customFormat="1" x14ac:dyDescent="0.2">
      <c r="A32" s="19" t="s">
        <v>20</v>
      </c>
      <c r="B32" s="19"/>
      <c r="C32" s="19">
        <v>-84.863</v>
      </c>
      <c r="D32" s="19">
        <v>-126.81800000000001</v>
      </c>
      <c r="E32" s="19">
        <v>138.29300000000001</v>
      </c>
      <c r="F32" s="19">
        <v>127.79300000000002</v>
      </c>
      <c r="G32" s="19">
        <v>24.111999999999995</v>
      </c>
      <c r="H32" s="19">
        <v>-86.822999999999993</v>
      </c>
      <c r="I32" s="19">
        <v>34.477999999999966</v>
      </c>
      <c r="J32" s="19">
        <v>56.652000000000029</v>
      </c>
    </row>
    <row r="33" spans="1:10" s="11" customFormat="1" x14ac:dyDescent="0.2">
      <c r="A33" s="19" t="s">
        <v>19</v>
      </c>
      <c r="B33" s="19"/>
      <c r="C33" s="19">
        <v>0</v>
      </c>
      <c r="D33" s="19">
        <v>0</v>
      </c>
      <c r="E33" s="19">
        <v>0</v>
      </c>
      <c r="F33" s="19">
        <v>0</v>
      </c>
      <c r="G33" s="19">
        <v>0</v>
      </c>
      <c r="H33" s="19">
        <v>0</v>
      </c>
      <c r="I33" s="19">
        <v>0</v>
      </c>
      <c r="J33" s="19">
        <v>0</v>
      </c>
    </row>
    <row r="34" spans="1:10" s="11" customFormat="1" x14ac:dyDescent="0.2">
      <c r="A34" s="19" t="s">
        <v>18</v>
      </c>
      <c r="B34" s="21"/>
      <c r="C34" s="21">
        <v>0</v>
      </c>
      <c r="D34" s="21">
        <v>0</v>
      </c>
      <c r="E34" s="21">
        <v>0</v>
      </c>
      <c r="F34" s="21">
        <v>0</v>
      </c>
      <c r="G34" s="21">
        <v>0</v>
      </c>
      <c r="H34" s="21">
        <v>0</v>
      </c>
      <c r="I34" s="21">
        <v>0</v>
      </c>
      <c r="J34" s="21">
        <v>0</v>
      </c>
    </row>
    <row r="35" spans="1:10" s="20" customFormat="1" x14ac:dyDescent="0.2">
      <c r="A35" s="20" t="s">
        <v>17</v>
      </c>
      <c r="C35" s="20">
        <v>24.484999999999985</v>
      </c>
      <c r="D35" s="20">
        <v>-62.321999999999974</v>
      </c>
      <c r="E35" s="20">
        <v>169.48799999999997</v>
      </c>
      <c r="F35" s="20">
        <v>141.79400000000001</v>
      </c>
      <c r="G35" s="20">
        <v>71.197000000000003</v>
      </c>
      <c r="H35" s="20">
        <v>-61.230000000000004</v>
      </c>
      <c r="I35" s="20">
        <v>28.768000000000001</v>
      </c>
      <c r="J35" s="20">
        <v>86.76</v>
      </c>
    </row>
    <row r="36" spans="1:10" s="11" customFormat="1" x14ac:dyDescent="0.2">
      <c r="A36" s="19" t="s">
        <v>16</v>
      </c>
      <c r="B36" s="21"/>
      <c r="C36" s="21">
        <v>-2.7869999999999999</v>
      </c>
      <c r="D36" s="21">
        <v>-0.60099999999999998</v>
      </c>
      <c r="E36" s="21">
        <v>-3.077</v>
      </c>
      <c r="F36" s="21">
        <v>-1.8720000000000001</v>
      </c>
      <c r="G36" s="21">
        <v>-6.0810000000000004</v>
      </c>
      <c r="H36" s="21">
        <v>-3.0920000000000001</v>
      </c>
      <c r="I36" s="21">
        <v>-1.5549999999999997</v>
      </c>
      <c r="J36" s="21">
        <v>-1.4830000000000001</v>
      </c>
    </row>
    <row r="37" spans="1:10" s="20" customFormat="1" x14ac:dyDescent="0.2">
      <c r="A37" s="20" t="s">
        <v>15</v>
      </c>
      <c r="C37" s="20">
        <f t="shared" ref="C37:I37" si="10">+C35+C36</f>
        <v>21.697999999999986</v>
      </c>
      <c r="D37" s="20">
        <f t="shared" si="10"/>
        <v>-62.922999999999973</v>
      </c>
      <c r="E37" s="20">
        <f t="shared" si="10"/>
        <v>166.41099999999997</v>
      </c>
      <c r="F37" s="20">
        <f t="shared" si="10"/>
        <v>139.922</v>
      </c>
      <c r="G37" s="20">
        <f t="shared" si="10"/>
        <v>65.116</v>
      </c>
      <c r="H37" s="20">
        <f t="shared" si="10"/>
        <v>-64.322000000000003</v>
      </c>
      <c r="I37" s="20">
        <f t="shared" si="10"/>
        <v>27.213000000000001</v>
      </c>
      <c r="J37" s="20">
        <f t="shared" ref="J37" si="11">+J35+J36</f>
        <v>85.277000000000001</v>
      </c>
    </row>
    <row r="39" spans="1:10" s="16" customFormat="1" x14ac:dyDescent="0.2">
      <c r="A39" s="18" t="s">
        <v>14</v>
      </c>
      <c r="B39" s="19">
        <v>0</v>
      </c>
      <c r="C39" s="19"/>
      <c r="D39" s="19"/>
      <c r="E39" s="19"/>
      <c r="F39" s="19"/>
      <c r="G39" s="19"/>
      <c r="H39" s="19"/>
      <c r="I39" s="19"/>
      <c r="J39" s="19"/>
    </row>
    <row r="40" spans="1:10" s="16" customFormat="1" x14ac:dyDescent="0.2">
      <c r="A40" s="18" t="s">
        <v>13</v>
      </c>
      <c r="B40" s="19">
        <v>1165</v>
      </c>
      <c r="C40" s="19"/>
      <c r="D40" s="19"/>
      <c r="E40" s="19"/>
      <c r="F40" s="19"/>
      <c r="G40" s="19"/>
      <c r="H40" s="19"/>
      <c r="I40" s="19"/>
      <c r="J40" s="19"/>
    </row>
    <row r="41" spans="1:10" s="16" customFormat="1" x14ac:dyDescent="0.2">
      <c r="A41" s="18" t="s">
        <v>12</v>
      </c>
      <c r="B41" s="19">
        <f>B39+B40+430</f>
        <v>1595</v>
      </c>
      <c r="C41" s="19"/>
      <c r="D41" s="19"/>
      <c r="E41" s="19"/>
      <c r="F41" s="19"/>
      <c r="G41" s="19"/>
      <c r="H41" s="19"/>
      <c r="I41" s="19"/>
      <c r="J41" s="19"/>
    </row>
    <row r="42" spans="1:10" s="16" customFormat="1" x14ac:dyDescent="0.2">
      <c r="A42" s="18" t="s">
        <v>11</v>
      </c>
      <c r="B42" s="17">
        <v>785</v>
      </c>
      <c r="C42" s="17"/>
      <c r="D42" s="17"/>
      <c r="E42" s="17"/>
      <c r="F42" s="17"/>
      <c r="G42" s="17"/>
      <c r="H42" s="17"/>
      <c r="I42" s="17"/>
      <c r="J42" s="17"/>
    </row>
    <row r="43" spans="1:10" x14ac:dyDescent="0.2">
      <c r="B43" s="16"/>
      <c r="C43" s="16"/>
      <c r="D43" s="16"/>
    </row>
    <row r="44" spans="1:10" x14ac:dyDescent="0.2">
      <c r="A44" s="15" t="s">
        <v>10</v>
      </c>
      <c r="B44" s="27">
        <v>10</v>
      </c>
      <c r="C44" s="27"/>
      <c r="D44" s="27"/>
      <c r="E44" s="27"/>
      <c r="F44" s="27"/>
      <c r="G44" s="27"/>
      <c r="H44" s="14"/>
      <c r="I44" s="14"/>
      <c r="J44" s="14"/>
    </row>
    <row r="46" spans="1:10" x14ac:dyDescent="0.2">
      <c r="A46" s="1" t="s">
        <v>9</v>
      </c>
      <c r="B46" s="12">
        <v>2129</v>
      </c>
      <c r="C46" s="11"/>
      <c r="D46" s="11"/>
      <c r="E46" s="11"/>
      <c r="F46" s="11"/>
    </row>
    <row r="47" spans="1:10" x14ac:dyDescent="0.2">
      <c r="A47" s="1" t="s">
        <v>8</v>
      </c>
      <c r="B47" s="12">
        <v>250.5</v>
      </c>
      <c r="C47" s="11"/>
      <c r="D47" s="11"/>
      <c r="E47" s="11"/>
      <c r="F47" s="11"/>
    </row>
    <row r="48" spans="1:10" x14ac:dyDescent="0.2">
      <c r="A48" s="1" t="s">
        <v>7</v>
      </c>
      <c r="B48" s="12">
        <v>131.36250000000001</v>
      </c>
      <c r="C48" s="11"/>
      <c r="D48" s="11"/>
      <c r="E48" s="11"/>
      <c r="F48" s="11"/>
    </row>
    <row r="50" spans="1:10" s="10" customFormat="1" x14ac:dyDescent="0.2">
      <c r="A50" s="10" t="s">
        <v>6</v>
      </c>
      <c r="B50" s="10">
        <f>+SUM(B39:B40)/B47</f>
        <v>4.6506986027944111</v>
      </c>
    </row>
    <row r="51" spans="1:10" s="10" customFormat="1" x14ac:dyDescent="0.2">
      <c r="A51" s="10" t="s">
        <v>5</v>
      </c>
      <c r="B51" s="10">
        <f>+B41/B47</f>
        <v>6.3672654690618762</v>
      </c>
    </row>
    <row r="52" spans="1:10" s="10" customFormat="1" x14ac:dyDescent="0.2">
      <c r="A52" s="10" t="s">
        <v>4</v>
      </c>
      <c r="B52" s="10">
        <f>+(B41-B44)/B47</f>
        <v>6.3273453093812373</v>
      </c>
    </row>
    <row r="53" spans="1:10" s="6" customFormat="1" x14ac:dyDescent="0.2">
      <c r="A53" s="6" t="s">
        <v>3</v>
      </c>
      <c r="B53" s="6">
        <f>+B48/B41</f>
        <v>8.2358934169279002E-2</v>
      </c>
    </row>
    <row r="54" spans="1:10" s="6" customFormat="1" x14ac:dyDescent="0.2">
      <c r="A54" s="8" t="s">
        <v>2</v>
      </c>
      <c r="B54" s="9"/>
      <c r="C54" s="9"/>
      <c r="D54" s="9"/>
      <c r="E54" s="9"/>
      <c r="F54" s="9"/>
      <c r="G54" s="8"/>
      <c r="H54" s="8"/>
      <c r="I54" s="8"/>
      <c r="J54" s="8"/>
    </row>
    <row r="55" spans="1:10" s="6" customFormat="1" x14ac:dyDescent="0.2">
      <c r="A55" s="6" t="s">
        <v>1</v>
      </c>
      <c r="B55" s="7">
        <f>IF(B42=0,IF(B54="","","*"&amp;TEXT(B54,"0.0x")),(B41+B42-B44)/B47)</f>
        <v>9.4610778443113777</v>
      </c>
      <c r="C55" s="7"/>
      <c r="D55" s="7"/>
      <c r="E55" s="7"/>
      <c r="F55" s="7"/>
      <c r="G55" s="7"/>
      <c r="H55" s="7" t="str">
        <f t="shared" ref="H55:I55" si="12">IF(H42=0,IF(H54="","",CONCATENATE("* ",H54,"x")),(H41+H42-H44)/H47)</f>
        <v/>
      </c>
      <c r="I55" s="7" t="str">
        <f t="shared" si="12"/>
        <v/>
      </c>
      <c r="J55" s="7" t="str">
        <f t="shared" ref="J55" si="13">IF(J42=0,IF(J54="","",CONCATENATE("* ",J54,"x")),(J41+J42-J44)/J47)</f>
        <v/>
      </c>
    </row>
    <row r="56" spans="1:10" x14ac:dyDescent="0.2">
      <c r="F56" s="3"/>
    </row>
    <row r="57" spans="1:10" ht="80.25" customHeight="1" x14ac:dyDescent="0.2">
      <c r="A57" s="5" t="s">
        <v>0</v>
      </c>
      <c r="B57" s="4" t="s">
        <v>104</v>
      </c>
      <c r="C57" s="4"/>
      <c r="D57" s="4"/>
      <c r="E57" s="4"/>
      <c r="F57" s="4"/>
      <c r="G57" s="4"/>
      <c r="H57" s="4"/>
      <c r="I57" s="4"/>
      <c r="J57" s="4"/>
    </row>
    <row r="58" spans="1:10" x14ac:dyDescent="0.2">
      <c r="A58" s="2"/>
      <c r="B58" s="3"/>
    </row>
    <row r="59" spans="1:10" x14ac:dyDescent="0.2">
      <c r="A59" s="2"/>
    </row>
  </sheetData>
  <pageMargins left="0.7" right="0.7" top="0.75" bottom="0.75" header="0.3" footer="0.3"/>
  <pageSetup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84391-04AB-427D-8888-322C3604CB90}">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641</v>
      </c>
    </row>
    <row r="3" spans="1:9" s="35" customFormat="1" x14ac:dyDescent="0.2">
      <c r="A3" s="36" t="s">
        <v>43</v>
      </c>
      <c r="B3" s="35" t="s">
        <v>642</v>
      </c>
    </row>
    <row r="4" spans="1:9" x14ac:dyDescent="0.2">
      <c r="A4" s="34" t="s">
        <v>41</v>
      </c>
      <c r="B4" s="1" t="s">
        <v>40</v>
      </c>
    </row>
    <row r="5" spans="1:9" x14ac:dyDescent="0.2">
      <c r="A5" s="34" t="s">
        <v>39</v>
      </c>
    </row>
    <row r="6" spans="1:9" x14ac:dyDescent="0.2">
      <c r="A6" s="34" t="s">
        <v>38</v>
      </c>
      <c r="B6" s="1">
        <v>3</v>
      </c>
    </row>
    <row r="7" spans="1:9" x14ac:dyDescent="0.2">
      <c r="A7" s="34" t="s">
        <v>37</v>
      </c>
      <c r="B7" s="1" t="s">
        <v>392</v>
      </c>
    </row>
    <row r="8" spans="1:9" x14ac:dyDescent="0.2">
      <c r="A8" s="34" t="s">
        <v>281</v>
      </c>
      <c r="B8" s="1" t="s">
        <v>288</v>
      </c>
    </row>
    <row r="9" spans="1:9" x14ac:dyDescent="0.2">
      <c r="A9" s="22"/>
    </row>
    <row r="10" spans="1:9" x14ac:dyDescent="0.2">
      <c r="A10" s="22" t="s">
        <v>36</v>
      </c>
      <c r="B10" s="33">
        <v>44286</v>
      </c>
      <c r="C10" s="33">
        <f>EOMONTH(B10,-3)</f>
        <v>44196</v>
      </c>
      <c r="D10" s="33">
        <f t="shared" ref="D10:I10" si="0">EOMONTH(C10,-3)</f>
        <v>44104</v>
      </c>
      <c r="E10" s="33">
        <f t="shared" si="0"/>
        <v>44012</v>
      </c>
      <c r="F10" s="33">
        <f t="shared" si="0"/>
        <v>43921</v>
      </c>
      <c r="G10" s="33">
        <f t="shared" si="0"/>
        <v>43830</v>
      </c>
      <c r="H10" s="33">
        <f t="shared" si="0"/>
        <v>43738</v>
      </c>
      <c r="I10" s="33">
        <f t="shared" si="0"/>
        <v>43646</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775</v>
      </c>
      <c r="C40" s="19"/>
      <c r="D40" s="19"/>
      <c r="E40" s="19"/>
      <c r="F40" s="19"/>
      <c r="G40" s="19"/>
      <c r="H40" s="19"/>
      <c r="I40" s="19"/>
    </row>
    <row r="41" spans="1:9" s="16" customFormat="1" x14ac:dyDescent="0.2">
      <c r="A41" s="18" t="s">
        <v>12</v>
      </c>
      <c r="B41" s="19">
        <f>B39+B40+450</f>
        <v>1225</v>
      </c>
      <c r="C41" s="19"/>
      <c r="D41" s="19"/>
      <c r="E41" s="19"/>
      <c r="F41" s="19"/>
      <c r="G41" s="19"/>
      <c r="H41" s="19"/>
      <c r="I41" s="19"/>
    </row>
    <row r="42" spans="1:9" s="16" customFormat="1" x14ac:dyDescent="0.2">
      <c r="A42" s="18" t="s">
        <v>11</v>
      </c>
      <c r="B42" s="17">
        <v>500</v>
      </c>
      <c r="C42" s="17"/>
      <c r="D42" s="17"/>
      <c r="E42" s="17"/>
      <c r="F42" s="17"/>
      <c r="G42" s="17"/>
      <c r="H42" s="17"/>
      <c r="I42" s="17"/>
    </row>
    <row r="43" spans="1:9" x14ac:dyDescent="0.2">
      <c r="B43" s="16"/>
      <c r="C43" s="16"/>
      <c r="D43" s="16"/>
    </row>
    <row r="44" spans="1:9" x14ac:dyDescent="0.2">
      <c r="A44" s="15" t="s">
        <v>10</v>
      </c>
      <c r="B44" s="27">
        <v>23</v>
      </c>
      <c r="C44" s="27"/>
      <c r="D44" s="27"/>
      <c r="E44" s="27"/>
      <c r="F44" s="27"/>
      <c r="G44" s="27"/>
      <c r="H44" s="14"/>
      <c r="I44" s="14"/>
    </row>
    <row r="46" spans="1:9" x14ac:dyDescent="0.2">
      <c r="A46" s="1" t="s">
        <v>9</v>
      </c>
      <c r="B46" s="12">
        <v>895</v>
      </c>
      <c r="C46" s="11"/>
      <c r="D46" s="11"/>
      <c r="E46" s="11"/>
      <c r="F46" s="11"/>
    </row>
    <row r="47" spans="1:9" x14ac:dyDescent="0.2">
      <c r="A47" s="1" t="s">
        <v>8</v>
      </c>
      <c r="B47" s="12">
        <v>165</v>
      </c>
      <c r="C47" s="11"/>
      <c r="D47" s="11"/>
      <c r="E47" s="11"/>
      <c r="F47" s="11"/>
    </row>
    <row r="48" spans="1:9" x14ac:dyDescent="0.2">
      <c r="A48" s="1" t="s">
        <v>7</v>
      </c>
      <c r="B48" s="12">
        <v>63.615000000000009</v>
      </c>
      <c r="C48" s="11"/>
      <c r="D48" s="11"/>
      <c r="E48" s="11"/>
      <c r="F48" s="11"/>
    </row>
    <row r="50" spans="1:9" s="10" customFormat="1" x14ac:dyDescent="0.2">
      <c r="A50" s="10" t="s">
        <v>6</v>
      </c>
      <c r="B50" s="10">
        <f>+SUM(B39:B40)/B47</f>
        <v>4.6969696969696972</v>
      </c>
    </row>
    <row r="51" spans="1:9" s="10" customFormat="1" x14ac:dyDescent="0.2">
      <c r="A51" s="10" t="s">
        <v>5</v>
      </c>
      <c r="B51" s="10">
        <f>+B41/B47</f>
        <v>7.4242424242424239</v>
      </c>
    </row>
    <row r="52" spans="1:9" s="10" customFormat="1" x14ac:dyDescent="0.2">
      <c r="A52" s="10" t="s">
        <v>4</v>
      </c>
      <c r="B52" s="10">
        <f>+(B41-B44)/B47</f>
        <v>7.2848484848484851</v>
      </c>
    </row>
    <row r="53" spans="1:9" s="6" customFormat="1" x14ac:dyDescent="0.2">
      <c r="A53" s="6" t="s">
        <v>3</v>
      </c>
      <c r="B53" s="6">
        <f>+B48/B41</f>
        <v>5.1930612244897964E-2</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10.315151515151515</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23EA-C8A2-4A1E-B91C-905577819CA4}">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659</v>
      </c>
    </row>
    <row r="3" spans="1:9" s="35" customFormat="1" x14ac:dyDescent="0.2">
      <c r="A3" s="36" t="s">
        <v>43</v>
      </c>
      <c r="B3" s="35" t="s">
        <v>660</v>
      </c>
    </row>
    <row r="4" spans="1:9" x14ac:dyDescent="0.2">
      <c r="A4" s="34" t="s">
        <v>41</v>
      </c>
      <c r="B4" s="1" t="s">
        <v>40</v>
      </c>
    </row>
    <row r="5" spans="1:9" x14ac:dyDescent="0.2">
      <c r="A5" s="34" t="s">
        <v>39</v>
      </c>
    </row>
    <row r="6" spans="1:9" x14ac:dyDescent="0.2">
      <c r="A6" s="34" t="s">
        <v>38</v>
      </c>
      <c r="B6" s="1">
        <v>4</v>
      </c>
    </row>
    <row r="7" spans="1:9" x14ac:dyDescent="0.2">
      <c r="A7" s="34" t="s">
        <v>37</v>
      </c>
      <c r="B7" s="1" t="s">
        <v>529</v>
      </c>
    </row>
    <row r="8" spans="1:9" x14ac:dyDescent="0.2">
      <c r="A8" s="34" t="s">
        <v>281</v>
      </c>
      <c r="B8" s="1" t="s">
        <v>661</v>
      </c>
    </row>
    <row r="9" spans="1:9" x14ac:dyDescent="0.2">
      <c r="A9" s="22"/>
    </row>
    <row r="10" spans="1:9" x14ac:dyDescent="0.2">
      <c r="A10" s="22" t="s">
        <v>36</v>
      </c>
      <c r="B10" s="33">
        <v>44286</v>
      </c>
      <c r="C10" s="33">
        <f>EOMONTH(B10,-3)</f>
        <v>44196</v>
      </c>
      <c r="D10" s="33">
        <f t="shared" ref="D10:I10" si="0">EOMONTH(C10,-3)</f>
        <v>44104</v>
      </c>
      <c r="E10" s="33">
        <f t="shared" si="0"/>
        <v>44012</v>
      </c>
      <c r="F10" s="33">
        <f t="shared" si="0"/>
        <v>43921</v>
      </c>
      <c r="G10" s="33">
        <f t="shared" si="0"/>
        <v>43830</v>
      </c>
      <c r="H10" s="33">
        <f t="shared" si="0"/>
        <v>43738</v>
      </c>
      <c r="I10" s="33">
        <f t="shared" si="0"/>
        <v>43646</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730</v>
      </c>
      <c r="C40" s="19"/>
      <c r="D40" s="19"/>
      <c r="E40" s="19"/>
      <c r="F40" s="19"/>
      <c r="G40" s="19"/>
      <c r="H40" s="19"/>
      <c r="I40" s="19"/>
    </row>
    <row r="41" spans="1:9" s="16" customFormat="1" x14ac:dyDescent="0.2">
      <c r="A41" s="18" t="s">
        <v>12</v>
      </c>
      <c r="B41" s="19">
        <f>B39+B40</f>
        <v>730</v>
      </c>
      <c r="C41" s="19"/>
      <c r="D41" s="19"/>
      <c r="E41" s="19"/>
      <c r="F41" s="19"/>
      <c r="G41" s="19"/>
      <c r="H41" s="19"/>
      <c r="I41" s="19"/>
    </row>
    <row r="42" spans="1:9" s="16" customFormat="1" x14ac:dyDescent="0.2">
      <c r="A42" s="18" t="s">
        <v>11</v>
      </c>
      <c r="B42" s="17">
        <v>937</v>
      </c>
      <c r="C42" s="17"/>
      <c r="D42" s="17"/>
      <c r="E42" s="17"/>
      <c r="F42" s="17"/>
      <c r="G42" s="17"/>
      <c r="H42" s="17"/>
      <c r="I42" s="17"/>
    </row>
    <row r="43" spans="1:9" x14ac:dyDescent="0.2">
      <c r="B43" s="16"/>
      <c r="C43" s="16"/>
      <c r="D43" s="16"/>
    </row>
    <row r="44" spans="1:9" x14ac:dyDescent="0.2">
      <c r="A44" s="15" t="s">
        <v>10</v>
      </c>
      <c r="B44" s="27">
        <v>75</v>
      </c>
      <c r="C44" s="27"/>
      <c r="D44" s="27"/>
      <c r="E44" s="27"/>
      <c r="F44" s="27"/>
      <c r="G44" s="27"/>
      <c r="H44" s="14"/>
      <c r="I44" s="14"/>
    </row>
    <row r="46" spans="1:9" x14ac:dyDescent="0.2">
      <c r="A46" s="1" t="s">
        <v>9</v>
      </c>
      <c r="B46" s="12">
        <v>1020</v>
      </c>
      <c r="C46" s="11"/>
      <c r="D46" s="11"/>
      <c r="E46" s="11"/>
      <c r="F46" s="11"/>
    </row>
    <row r="47" spans="1:9" x14ac:dyDescent="0.2">
      <c r="A47" s="1" t="s">
        <v>8</v>
      </c>
      <c r="B47" s="12">
        <v>199.4</v>
      </c>
      <c r="C47" s="11"/>
      <c r="D47" s="11"/>
      <c r="E47" s="11"/>
      <c r="F47" s="11"/>
    </row>
    <row r="48" spans="1:9" x14ac:dyDescent="0.2">
      <c r="A48" s="1" t="s">
        <v>7</v>
      </c>
      <c r="B48" s="12">
        <v>91.711000000000013</v>
      </c>
      <c r="C48" s="11"/>
      <c r="D48" s="11"/>
      <c r="E48" s="11"/>
      <c r="F48" s="11"/>
    </row>
    <row r="50" spans="1:9" s="10" customFormat="1" x14ac:dyDescent="0.2">
      <c r="A50" s="10" t="s">
        <v>6</v>
      </c>
      <c r="B50" s="10">
        <f>+SUM(B39:B40)/B47</f>
        <v>3.6609829488465393</v>
      </c>
    </row>
    <row r="51" spans="1:9" s="10" customFormat="1" x14ac:dyDescent="0.2">
      <c r="A51" s="10" t="s">
        <v>5</v>
      </c>
      <c r="B51" s="10">
        <f>+B41/B47</f>
        <v>3.6609829488465393</v>
      </c>
    </row>
    <row r="52" spans="1:9" s="10" customFormat="1" x14ac:dyDescent="0.2">
      <c r="A52" s="10" t="s">
        <v>4</v>
      </c>
      <c r="B52" s="10">
        <f>+(B41-B44)/B47</f>
        <v>3.2848545636910731</v>
      </c>
    </row>
    <row r="53" spans="1:9" s="6" customFormat="1" x14ac:dyDescent="0.2">
      <c r="A53" s="6" t="s">
        <v>3</v>
      </c>
      <c r="B53" s="6">
        <f>+B48/B41</f>
        <v>0.12563150684931509</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7.9839518555666995</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B255-7D5C-4C6D-ADB9-9902E1CDF876}">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662</v>
      </c>
    </row>
    <row r="3" spans="1:9" s="35" customFormat="1" x14ac:dyDescent="0.2">
      <c r="A3" s="36" t="s">
        <v>43</v>
      </c>
      <c r="B3" s="35" t="s">
        <v>663</v>
      </c>
    </row>
    <row r="4" spans="1:9" x14ac:dyDescent="0.2">
      <c r="A4" s="34" t="s">
        <v>41</v>
      </c>
      <c r="B4" s="1" t="s">
        <v>40</v>
      </c>
    </row>
    <row r="5" spans="1:9" x14ac:dyDescent="0.2">
      <c r="A5" s="34" t="s">
        <v>39</v>
      </c>
    </row>
    <row r="6" spans="1:9" x14ac:dyDescent="0.2">
      <c r="A6" s="34" t="s">
        <v>38</v>
      </c>
      <c r="B6" s="1">
        <v>3</v>
      </c>
    </row>
    <row r="7" spans="1:9" x14ac:dyDescent="0.2">
      <c r="A7" s="34" t="s">
        <v>37</v>
      </c>
      <c r="B7" s="1" t="s">
        <v>432</v>
      </c>
    </row>
    <row r="8" spans="1:9" x14ac:dyDescent="0.2">
      <c r="A8" s="34" t="s">
        <v>281</v>
      </c>
      <c r="B8" s="1" t="s">
        <v>287</v>
      </c>
    </row>
    <row r="9" spans="1:9" x14ac:dyDescent="0.2">
      <c r="A9" s="22"/>
    </row>
    <row r="10" spans="1:9" x14ac:dyDescent="0.2">
      <c r="A10" s="22" t="s">
        <v>36</v>
      </c>
      <c r="B10" s="33">
        <v>44286</v>
      </c>
      <c r="C10" s="33">
        <f>EOMONTH(B10,-3)</f>
        <v>44196</v>
      </c>
      <c r="D10" s="33">
        <f t="shared" ref="D10:I10" si="0">EOMONTH(C10,-3)</f>
        <v>44104</v>
      </c>
      <c r="E10" s="33">
        <f t="shared" si="0"/>
        <v>44012</v>
      </c>
      <c r="F10" s="33">
        <f t="shared" si="0"/>
        <v>43921</v>
      </c>
      <c r="G10" s="33">
        <f t="shared" si="0"/>
        <v>43830</v>
      </c>
      <c r="H10" s="33">
        <f t="shared" si="0"/>
        <v>43738</v>
      </c>
      <c r="I10" s="33">
        <f t="shared" si="0"/>
        <v>43646</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580</v>
      </c>
      <c r="C40" s="19"/>
      <c r="D40" s="19"/>
      <c r="E40" s="19"/>
      <c r="F40" s="19"/>
      <c r="G40" s="19"/>
      <c r="H40" s="19"/>
      <c r="I40" s="19"/>
    </row>
    <row r="41" spans="1:9" s="16" customFormat="1" x14ac:dyDescent="0.2">
      <c r="A41" s="18" t="s">
        <v>12</v>
      </c>
      <c r="B41" s="19">
        <f>B39+B40+200</f>
        <v>780</v>
      </c>
      <c r="C41" s="19"/>
      <c r="D41" s="19"/>
      <c r="E41" s="19"/>
      <c r="F41" s="19"/>
      <c r="G41" s="19"/>
      <c r="H41" s="19"/>
      <c r="I41" s="19"/>
    </row>
    <row r="42" spans="1:9" s="16" customFormat="1" x14ac:dyDescent="0.2">
      <c r="A42" s="18" t="s">
        <v>11</v>
      </c>
      <c r="B42" s="17">
        <v>112</v>
      </c>
      <c r="C42" s="17"/>
      <c r="D42" s="17"/>
      <c r="E42" s="17"/>
      <c r="F42" s="17"/>
      <c r="G42" s="17"/>
      <c r="H42" s="17"/>
      <c r="I42" s="17"/>
    </row>
    <row r="43" spans="1:9" x14ac:dyDescent="0.2">
      <c r="B43" s="16"/>
      <c r="C43" s="16"/>
      <c r="D43" s="16"/>
    </row>
    <row r="44" spans="1:9" x14ac:dyDescent="0.2">
      <c r="A44" s="15" t="s">
        <v>10</v>
      </c>
      <c r="B44" s="27">
        <v>24</v>
      </c>
      <c r="C44" s="27"/>
      <c r="D44" s="27"/>
      <c r="E44" s="27"/>
      <c r="F44" s="27"/>
      <c r="G44" s="27"/>
      <c r="H44" s="14"/>
      <c r="I44" s="14"/>
    </row>
    <row r="46" spans="1:9" x14ac:dyDescent="0.2">
      <c r="A46" s="1" t="s">
        <v>9</v>
      </c>
      <c r="B46" s="12">
        <v>609</v>
      </c>
      <c r="C46" s="11"/>
      <c r="D46" s="11"/>
      <c r="E46" s="11"/>
      <c r="F46" s="11"/>
    </row>
    <row r="47" spans="1:9" x14ac:dyDescent="0.2">
      <c r="A47" s="1" t="s">
        <v>8</v>
      </c>
      <c r="B47" s="12">
        <v>105.7</v>
      </c>
      <c r="C47" s="11"/>
      <c r="D47" s="11"/>
      <c r="E47" s="11"/>
      <c r="F47" s="11"/>
    </row>
    <row r="48" spans="1:9" x14ac:dyDescent="0.2">
      <c r="A48" s="1" t="s">
        <v>7</v>
      </c>
      <c r="B48" s="12">
        <v>38.116</v>
      </c>
      <c r="C48" s="11"/>
      <c r="D48" s="11"/>
      <c r="E48" s="11"/>
      <c r="F48" s="11"/>
    </row>
    <row r="50" spans="1:9" s="10" customFormat="1" x14ac:dyDescent="0.2">
      <c r="A50" s="10" t="s">
        <v>6</v>
      </c>
      <c r="B50" s="10">
        <f>+SUM(B39:B40)/B47</f>
        <v>5.4872280037842946</v>
      </c>
    </row>
    <row r="51" spans="1:9" s="10" customFormat="1" x14ac:dyDescent="0.2">
      <c r="A51" s="10" t="s">
        <v>5</v>
      </c>
      <c r="B51" s="10">
        <f>+B41/B47</f>
        <v>7.379375591296121</v>
      </c>
    </row>
    <row r="52" spans="1:9" s="10" customFormat="1" x14ac:dyDescent="0.2">
      <c r="A52" s="10" t="s">
        <v>4</v>
      </c>
      <c r="B52" s="10">
        <f>+(B41-B44)/B47</f>
        <v>7.1523178807947021</v>
      </c>
    </row>
    <row r="53" spans="1:9" s="6" customFormat="1" x14ac:dyDescent="0.2">
      <c r="A53" s="6" t="s">
        <v>3</v>
      </c>
      <c r="B53" s="6">
        <f>+B48/B41</f>
        <v>4.8866666666666669E-2</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8.2119205298013238</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83236-4B6C-4C66-9E6D-2CF37C379A48}">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664</v>
      </c>
    </row>
    <row r="3" spans="1:9" s="35" customFormat="1" x14ac:dyDescent="0.2">
      <c r="A3" s="36" t="s">
        <v>43</v>
      </c>
      <c r="B3" s="35" t="s">
        <v>665</v>
      </c>
    </row>
    <row r="4" spans="1:9" x14ac:dyDescent="0.2">
      <c r="A4" s="34" t="s">
        <v>41</v>
      </c>
      <c r="B4" s="1" t="s">
        <v>40</v>
      </c>
    </row>
    <row r="5" spans="1:9" x14ac:dyDescent="0.2">
      <c r="A5" s="34" t="s">
        <v>39</v>
      </c>
    </row>
    <row r="6" spans="1:9" x14ac:dyDescent="0.2">
      <c r="A6" s="34" t="s">
        <v>38</v>
      </c>
      <c r="B6" s="1">
        <v>3</v>
      </c>
    </row>
    <row r="7" spans="1:9" x14ac:dyDescent="0.2">
      <c r="A7" s="34" t="s">
        <v>37</v>
      </c>
      <c r="B7" s="1" t="s">
        <v>392</v>
      </c>
    </row>
    <row r="8" spans="1:9" x14ac:dyDescent="0.2">
      <c r="A8" s="34" t="s">
        <v>281</v>
      </c>
      <c r="B8" s="1" t="s">
        <v>666</v>
      </c>
    </row>
    <row r="9" spans="1:9" x14ac:dyDescent="0.2">
      <c r="A9" s="22"/>
    </row>
    <row r="10" spans="1:9" x14ac:dyDescent="0.2">
      <c r="A10" s="22" t="s">
        <v>36</v>
      </c>
      <c r="B10" s="33">
        <v>44377</v>
      </c>
      <c r="C10" s="33">
        <f>EOMONTH(B10,-3)</f>
        <v>44286</v>
      </c>
      <c r="D10" s="33">
        <f t="shared" ref="D10:I10" si="0">EOMONTH(C10,-3)</f>
        <v>44196</v>
      </c>
      <c r="E10" s="33">
        <f t="shared" si="0"/>
        <v>44104</v>
      </c>
      <c r="F10" s="33">
        <f t="shared" si="0"/>
        <v>44012</v>
      </c>
      <c r="G10" s="33">
        <f t="shared" si="0"/>
        <v>43921</v>
      </c>
      <c r="H10" s="33">
        <f t="shared" si="0"/>
        <v>43830</v>
      </c>
      <c r="I10" s="33">
        <f t="shared" si="0"/>
        <v>43738</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3240</v>
      </c>
      <c r="C40" s="19"/>
      <c r="D40" s="19"/>
      <c r="E40" s="19"/>
      <c r="F40" s="19"/>
      <c r="G40" s="19"/>
      <c r="H40" s="19"/>
      <c r="I40" s="19"/>
    </row>
    <row r="41" spans="1:9" s="16" customFormat="1" x14ac:dyDescent="0.2">
      <c r="A41" s="18" t="s">
        <v>12</v>
      </c>
      <c r="B41" s="19">
        <f>B39+B40+1035</f>
        <v>4275</v>
      </c>
      <c r="C41" s="19"/>
      <c r="D41" s="19"/>
      <c r="E41" s="19"/>
      <c r="F41" s="19"/>
      <c r="G41" s="19"/>
      <c r="H41" s="19"/>
      <c r="I41" s="19"/>
    </row>
    <row r="42" spans="1:9" s="16" customFormat="1" x14ac:dyDescent="0.2">
      <c r="A42" s="18" t="s">
        <v>11</v>
      </c>
      <c r="B42" s="17">
        <v>1774.0000000000018</v>
      </c>
      <c r="C42" s="17"/>
      <c r="D42" s="17"/>
      <c r="E42" s="17"/>
      <c r="F42" s="17"/>
      <c r="G42" s="17"/>
      <c r="H42" s="17"/>
      <c r="I42" s="17"/>
    </row>
    <row r="43" spans="1:9" x14ac:dyDescent="0.2">
      <c r="B43" s="16"/>
      <c r="C43" s="16"/>
      <c r="D43" s="16"/>
    </row>
    <row r="44" spans="1:9" x14ac:dyDescent="0.2">
      <c r="A44" s="15" t="s">
        <v>10</v>
      </c>
      <c r="B44" s="27">
        <v>103</v>
      </c>
      <c r="C44" s="27"/>
      <c r="D44" s="27"/>
      <c r="E44" s="27"/>
      <c r="F44" s="27"/>
      <c r="G44" s="27"/>
      <c r="H44" s="14"/>
      <c r="I44" s="14"/>
    </row>
    <row r="46" spans="1:9" x14ac:dyDescent="0.2">
      <c r="A46" s="1" t="s">
        <v>9</v>
      </c>
      <c r="B46" s="12">
        <v>2939.9677419354839</v>
      </c>
      <c r="C46" s="11"/>
      <c r="D46" s="11"/>
      <c r="E46" s="11"/>
      <c r="F46" s="11"/>
    </row>
    <row r="47" spans="1:9" x14ac:dyDescent="0.2">
      <c r="A47" s="1" t="s">
        <v>8</v>
      </c>
      <c r="B47" s="12">
        <v>604.9000000000002</v>
      </c>
      <c r="C47" s="11"/>
      <c r="D47" s="11"/>
      <c r="E47" s="11"/>
      <c r="F47" s="11"/>
    </row>
    <row r="48" spans="1:9" x14ac:dyDescent="0.2">
      <c r="A48" s="1" t="s">
        <v>7</v>
      </c>
      <c r="B48" s="11"/>
      <c r="C48" s="11"/>
      <c r="D48" s="11"/>
      <c r="E48" s="11"/>
      <c r="F48" s="11"/>
    </row>
    <row r="50" spans="1:9" s="10" customFormat="1" x14ac:dyDescent="0.2">
      <c r="A50" s="10" t="s">
        <v>6</v>
      </c>
      <c r="B50" s="10">
        <f>+SUM(B39:B40)/B47</f>
        <v>5.3562572326004281</v>
      </c>
    </row>
    <row r="51" spans="1:9" s="10" customFormat="1" x14ac:dyDescent="0.2">
      <c r="A51" s="10" t="s">
        <v>5</v>
      </c>
      <c r="B51" s="10">
        <f>+B41/B47</f>
        <v>7.0672838485700096</v>
      </c>
    </row>
    <row r="52" spans="1:9" s="10" customFormat="1" x14ac:dyDescent="0.2">
      <c r="A52" s="10" t="s">
        <v>4</v>
      </c>
      <c r="B52" s="10">
        <f>+(B41-B44)/B47</f>
        <v>6.8970077698793162</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9.8297239213093075</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C9770-AD16-4CFD-98F8-AC2B591B4466}">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667</v>
      </c>
    </row>
    <row r="3" spans="1:9" s="35" customFormat="1" x14ac:dyDescent="0.2">
      <c r="A3" s="36" t="s">
        <v>43</v>
      </c>
      <c r="B3" s="35" t="s">
        <v>668</v>
      </c>
    </row>
    <row r="4" spans="1:9" x14ac:dyDescent="0.2">
      <c r="A4" s="34" t="s">
        <v>41</v>
      </c>
      <c r="B4" s="1" t="s">
        <v>40</v>
      </c>
    </row>
    <row r="5" spans="1:9" x14ac:dyDescent="0.2">
      <c r="A5" s="34" t="s">
        <v>39</v>
      </c>
    </row>
    <row r="6" spans="1:9" x14ac:dyDescent="0.2">
      <c r="A6" s="34" t="s">
        <v>38</v>
      </c>
      <c r="B6" s="1">
        <v>2</v>
      </c>
    </row>
    <row r="7" spans="1:9" x14ac:dyDescent="0.2">
      <c r="A7" s="34" t="s">
        <v>37</v>
      </c>
    </row>
    <row r="8" spans="1:9" x14ac:dyDescent="0.2">
      <c r="A8" s="34" t="s">
        <v>281</v>
      </c>
      <c r="B8" s="1" t="s">
        <v>601</v>
      </c>
    </row>
    <row r="9" spans="1:9" x14ac:dyDescent="0.2">
      <c r="A9" s="22"/>
    </row>
    <row r="10" spans="1:9" x14ac:dyDescent="0.2">
      <c r="A10" s="22" t="s">
        <v>36</v>
      </c>
      <c r="B10" s="33">
        <v>44286</v>
      </c>
      <c r="C10" s="33">
        <f>EOMONTH(B10,-3)</f>
        <v>44196</v>
      </c>
      <c r="D10" s="33">
        <f t="shared" ref="D10:I10" si="0">EOMONTH(C10,-3)</f>
        <v>44104</v>
      </c>
      <c r="E10" s="33">
        <f t="shared" si="0"/>
        <v>44012</v>
      </c>
      <c r="F10" s="33">
        <f t="shared" si="0"/>
        <v>43921</v>
      </c>
      <c r="G10" s="33">
        <f t="shared" si="0"/>
        <v>43830</v>
      </c>
      <c r="H10" s="33">
        <f t="shared" si="0"/>
        <v>43738</v>
      </c>
      <c r="I10" s="33">
        <f t="shared" si="0"/>
        <v>43646</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225</v>
      </c>
      <c r="C39" s="19"/>
      <c r="D39" s="19"/>
      <c r="E39" s="19"/>
      <c r="F39" s="19"/>
      <c r="G39" s="19"/>
      <c r="H39" s="19"/>
      <c r="I39" s="19"/>
    </row>
    <row r="40" spans="1:9" s="16" customFormat="1" x14ac:dyDescent="0.2">
      <c r="A40" s="18" t="s">
        <v>13</v>
      </c>
      <c r="B40" s="19">
        <v>1025</v>
      </c>
      <c r="C40" s="19"/>
      <c r="D40" s="19"/>
      <c r="E40" s="19"/>
      <c r="F40" s="19"/>
      <c r="G40" s="19"/>
      <c r="H40" s="19"/>
      <c r="I40" s="19"/>
    </row>
    <row r="41" spans="1:9" s="16" customFormat="1" x14ac:dyDescent="0.2">
      <c r="A41" s="18" t="s">
        <v>12</v>
      </c>
      <c r="B41" s="19">
        <f>B39+B40</f>
        <v>1250</v>
      </c>
      <c r="C41" s="19"/>
      <c r="D41" s="19"/>
      <c r="E41" s="19"/>
      <c r="F41" s="19"/>
      <c r="G41" s="19"/>
      <c r="H41" s="19"/>
      <c r="I41" s="19"/>
    </row>
    <row r="42" spans="1:9" s="16" customFormat="1" x14ac:dyDescent="0.2">
      <c r="A42" s="18" t="s">
        <v>11</v>
      </c>
      <c r="B42" s="17">
        <v>2757.8</v>
      </c>
      <c r="C42" s="17"/>
      <c r="D42" s="17"/>
      <c r="E42" s="17"/>
      <c r="F42" s="17"/>
      <c r="G42" s="17"/>
      <c r="H42" s="17"/>
      <c r="I42" s="17"/>
    </row>
    <row r="43" spans="1:9" x14ac:dyDescent="0.2">
      <c r="B43" s="16"/>
      <c r="C43" s="16"/>
      <c r="D43" s="16"/>
    </row>
    <row r="44" spans="1:9" x14ac:dyDescent="0.2">
      <c r="A44" s="15" t="s">
        <v>10</v>
      </c>
      <c r="B44" s="27">
        <v>128</v>
      </c>
      <c r="C44" s="27"/>
      <c r="D44" s="27"/>
      <c r="E44" s="27"/>
      <c r="F44" s="27"/>
      <c r="G44" s="27"/>
      <c r="H44" s="14"/>
      <c r="I44" s="14"/>
    </row>
    <row r="46" spans="1:9" x14ac:dyDescent="0.2">
      <c r="A46" s="1" t="s">
        <v>9</v>
      </c>
      <c r="B46" s="12">
        <v>3480</v>
      </c>
      <c r="C46" s="11"/>
      <c r="D46" s="11"/>
      <c r="E46" s="11"/>
      <c r="F46" s="11"/>
    </row>
    <row r="47" spans="1:9" x14ac:dyDescent="0.2">
      <c r="A47" s="1" t="s">
        <v>8</v>
      </c>
      <c r="B47" s="12">
        <v>459.20000000000005</v>
      </c>
      <c r="C47" s="11"/>
      <c r="D47" s="11"/>
      <c r="E47" s="11"/>
      <c r="F47" s="11"/>
    </row>
    <row r="48" spans="1:9" x14ac:dyDescent="0.2">
      <c r="A48" s="1" t="s">
        <v>7</v>
      </c>
      <c r="B48" s="12">
        <v>195.41250000000002</v>
      </c>
      <c r="C48" s="11"/>
      <c r="D48" s="11"/>
      <c r="E48" s="11"/>
      <c r="F48" s="11"/>
    </row>
    <row r="50" spans="1:9" s="10" customFormat="1" x14ac:dyDescent="0.2">
      <c r="A50" s="10" t="s">
        <v>6</v>
      </c>
      <c r="B50" s="10">
        <f>+SUM(B39:B40)/B47</f>
        <v>2.7221254355400695</v>
      </c>
    </row>
    <row r="51" spans="1:9" s="10" customFormat="1" x14ac:dyDescent="0.2">
      <c r="A51" s="10" t="s">
        <v>5</v>
      </c>
      <c r="B51" s="10">
        <f>+B41/B47</f>
        <v>2.7221254355400695</v>
      </c>
    </row>
    <row r="52" spans="1:9" s="10" customFormat="1" x14ac:dyDescent="0.2">
      <c r="A52" s="10" t="s">
        <v>4</v>
      </c>
      <c r="B52" s="10">
        <f>+(B41-B44)/B47</f>
        <v>2.4433797909407664</v>
      </c>
    </row>
    <row r="53" spans="1:9" s="6" customFormat="1" x14ac:dyDescent="0.2">
      <c r="A53" s="6" t="s">
        <v>3</v>
      </c>
      <c r="B53" s="6">
        <f>+B48/B41</f>
        <v>0.15633000000000002</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8.4490418118466888</v>
      </c>
      <c r="C55" s="7" t="str">
        <f>IF(C42=0,IF(C54="","","*"&amp;TEXT(C54,"0.0x")),(C41+C42-C44)/C47)</f>
        <v/>
      </c>
      <c r="D55" s="7" t="str">
        <f>IF(D42=0,IF(D54="","","*"&amp;TEXT(D54,"0.0x")),(D41+D42-D44)/D47)</f>
        <v/>
      </c>
      <c r="E55" s="7" t="str">
        <f>IF(E42=0,IF(E54="","","*"&amp;TEXT(E54,"0.0x")),(E41+E42-E44)/E47)</f>
        <v/>
      </c>
      <c r="F55" s="7" t="str">
        <f>IF(F42=0,IF(F54="","","*"&amp;TEXT(F54,"0.0x")),(F41+F42-F44)/F47)</f>
        <v/>
      </c>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74B7B-98E8-4FB9-9151-8726B68A9422}">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669</v>
      </c>
    </row>
    <row r="3" spans="1:9" s="35" customFormat="1" x14ac:dyDescent="0.2">
      <c r="A3" s="36" t="s">
        <v>43</v>
      </c>
      <c r="B3" s="35" t="s">
        <v>670</v>
      </c>
    </row>
    <row r="4" spans="1:9" x14ac:dyDescent="0.2">
      <c r="A4" s="34" t="s">
        <v>41</v>
      </c>
      <c r="B4" s="1" t="s">
        <v>40</v>
      </c>
    </row>
    <row r="5" spans="1:9" x14ac:dyDescent="0.2">
      <c r="A5" s="34" t="s">
        <v>39</v>
      </c>
    </row>
    <row r="6" spans="1:9" x14ac:dyDescent="0.2">
      <c r="A6" s="34" t="s">
        <v>38</v>
      </c>
      <c r="B6" s="1">
        <v>3</v>
      </c>
    </row>
    <row r="7" spans="1:9" x14ac:dyDescent="0.2">
      <c r="A7" s="34" t="s">
        <v>37</v>
      </c>
      <c r="B7" s="1" t="s">
        <v>585</v>
      </c>
    </row>
    <row r="8" spans="1:9" x14ac:dyDescent="0.2">
      <c r="A8" s="34" t="s">
        <v>281</v>
      </c>
      <c r="B8" s="1" t="s">
        <v>671</v>
      </c>
    </row>
    <row r="9" spans="1:9" x14ac:dyDescent="0.2">
      <c r="A9" s="22"/>
    </row>
    <row r="10" spans="1:9" x14ac:dyDescent="0.2">
      <c r="A10" s="22" t="s">
        <v>36</v>
      </c>
      <c r="B10" s="33">
        <v>44346</v>
      </c>
      <c r="C10" s="33">
        <f>EOMONTH(B10,-3)</f>
        <v>44255</v>
      </c>
      <c r="D10" s="33">
        <f t="shared" ref="D10:I10" si="0">EOMONTH(C10,-3)</f>
        <v>44165</v>
      </c>
      <c r="E10" s="33">
        <f t="shared" si="0"/>
        <v>44074</v>
      </c>
      <c r="F10" s="33">
        <f t="shared" si="0"/>
        <v>43982</v>
      </c>
      <c r="G10" s="33">
        <f t="shared" si="0"/>
        <v>43890</v>
      </c>
      <c r="H10" s="33">
        <f t="shared" si="0"/>
        <v>43799</v>
      </c>
      <c r="I10" s="33">
        <f t="shared" si="0"/>
        <v>43708</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725</v>
      </c>
      <c r="C40" s="19"/>
      <c r="D40" s="19"/>
      <c r="E40" s="19"/>
      <c r="F40" s="19"/>
      <c r="G40" s="19"/>
      <c r="H40" s="19"/>
      <c r="I40" s="19"/>
    </row>
    <row r="41" spans="1:9" s="16" customFormat="1" x14ac:dyDescent="0.2">
      <c r="A41" s="18" t="s">
        <v>12</v>
      </c>
      <c r="B41" s="19">
        <f>B39+B40</f>
        <v>725</v>
      </c>
      <c r="C41" s="19"/>
      <c r="D41" s="19"/>
      <c r="E41" s="19"/>
      <c r="F41" s="19"/>
      <c r="G41" s="19"/>
      <c r="H41" s="19"/>
      <c r="I41" s="19"/>
    </row>
    <row r="42" spans="1:9" s="16" customFormat="1" x14ac:dyDescent="0.2">
      <c r="A42" s="18" t="s">
        <v>11</v>
      </c>
      <c r="B42" s="17">
        <v>450</v>
      </c>
      <c r="C42" s="17"/>
      <c r="D42" s="17"/>
      <c r="E42" s="17"/>
      <c r="F42" s="17"/>
      <c r="G42" s="17"/>
      <c r="H42" s="17"/>
      <c r="I42" s="17"/>
    </row>
    <row r="43" spans="1:9" x14ac:dyDescent="0.2">
      <c r="B43" s="16"/>
      <c r="C43" s="16"/>
      <c r="D43" s="16"/>
    </row>
    <row r="44" spans="1:9" x14ac:dyDescent="0.2">
      <c r="A44" s="15" t="s">
        <v>10</v>
      </c>
      <c r="B44" s="27">
        <v>50</v>
      </c>
      <c r="C44" s="27"/>
      <c r="D44" s="27"/>
      <c r="E44" s="27"/>
      <c r="F44" s="27"/>
      <c r="G44" s="27"/>
      <c r="H44" s="14"/>
      <c r="I44" s="14"/>
    </row>
    <row r="46" spans="1:9" x14ac:dyDescent="0.2">
      <c r="A46" s="1" t="s">
        <v>9</v>
      </c>
      <c r="B46" s="12">
        <v>3101</v>
      </c>
      <c r="C46" s="11"/>
      <c r="D46" s="11"/>
      <c r="E46" s="11"/>
      <c r="F46" s="11"/>
    </row>
    <row r="47" spans="1:9" x14ac:dyDescent="0.2">
      <c r="A47" s="1" t="s">
        <v>8</v>
      </c>
      <c r="B47" s="12">
        <v>136.69999999999999</v>
      </c>
      <c r="C47" s="11"/>
      <c r="D47" s="11"/>
      <c r="E47" s="11"/>
      <c r="F47" s="11"/>
    </row>
    <row r="48" spans="1:9" x14ac:dyDescent="0.2">
      <c r="A48" s="1" t="s">
        <v>7</v>
      </c>
      <c r="B48" s="12">
        <v>49.027499999999989</v>
      </c>
      <c r="C48" s="11"/>
      <c r="D48" s="11"/>
      <c r="E48" s="11"/>
      <c r="F48" s="11"/>
    </row>
    <row r="50" spans="1:9" s="10" customFormat="1" x14ac:dyDescent="0.2">
      <c r="A50" s="10" t="s">
        <v>6</v>
      </c>
      <c r="B50" s="10">
        <f>+SUM(B39:B40)/B47</f>
        <v>5.3035844915874177</v>
      </c>
    </row>
    <row r="51" spans="1:9" s="10" customFormat="1" x14ac:dyDescent="0.2">
      <c r="A51" s="10" t="s">
        <v>5</v>
      </c>
      <c r="B51" s="10">
        <f>+B41/B47</f>
        <v>5.3035844915874177</v>
      </c>
    </row>
    <row r="52" spans="1:9" s="10" customFormat="1" x14ac:dyDescent="0.2">
      <c r="A52" s="10" t="s">
        <v>4</v>
      </c>
      <c r="B52" s="10">
        <f>+(B41-B44)/B47</f>
        <v>4.9378200438917341</v>
      </c>
    </row>
    <row r="53" spans="1:9" s="6" customFormat="1" x14ac:dyDescent="0.2">
      <c r="A53" s="6" t="s">
        <v>3</v>
      </c>
      <c r="B53" s="6">
        <f>+B48/B41</f>
        <v>6.7624137931034473E-2</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8.2297000731528911</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F4D04-D9CB-416B-B7DF-8457F09C70FA}">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675</v>
      </c>
    </row>
    <row r="3" spans="1:9" s="35" customFormat="1" x14ac:dyDescent="0.2">
      <c r="A3" s="36" t="s">
        <v>43</v>
      </c>
      <c r="B3" s="35" t="s">
        <v>676</v>
      </c>
    </row>
    <row r="4" spans="1:9" x14ac:dyDescent="0.2">
      <c r="A4" s="34" t="s">
        <v>41</v>
      </c>
      <c r="B4" s="1" t="s">
        <v>40</v>
      </c>
    </row>
    <row r="5" spans="1:9" x14ac:dyDescent="0.2">
      <c r="A5" s="34" t="s">
        <v>39</v>
      </c>
    </row>
    <row r="6" spans="1:9" x14ac:dyDescent="0.2">
      <c r="A6" s="34" t="s">
        <v>38</v>
      </c>
      <c r="B6" s="1">
        <v>3</v>
      </c>
    </row>
    <row r="7" spans="1:9" x14ac:dyDescent="0.2">
      <c r="A7" s="34" t="s">
        <v>37</v>
      </c>
      <c r="B7" s="1" t="s">
        <v>413</v>
      </c>
    </row>
    <row r="8" spans="1:9" x14ac:dyDescent="0.2">
      <c r="A8" s="34" t="s">
        <v>281</v>
      </c>
      <c r="B8" s="1" t="s">
        <v>677</v>
      </c>
    </row>
    <row r="9" spans="1:9" x14ac:dyDescent="0.2">
      <c r="A9" s="22"/>
    </row>
    <row r="10" spans="1:9" x14ac:dyDescent="0.2">
      <c r="A10" s="22" t="s">
        <v>36</v>
      </c>
      <c r="B10" s="33">
        <v>44377</v>
      </c>
      <c r="C10" s="33">
        <f>EOMONTH(B10,-3)</f>
        <v>44286</v>
      </c>
      <c r="D10" s="33">
        <f t="shared" ref="D10:I10" si="0">EOMONTH(C10,-3)</f>
        <v>44196</v>
      </c>
      <c r="E10" s="33">
        <f t="shared" si="0"/>
        <v>44104</v>
      </c>
      <c r="F10" s="33">
        <f t="shared" si="0"/>
        <v>44012</v>
      </c>
      <c r="G10" s="33">
        <f t="shared" si="0"/>
        <v>43921</v>
      </c>
      <c r="H10" s="33">
        <f t="shared" si="0"/>
        <v>43830</v>
      </c>
      <c r="I10" s="33">
        <f t="shared" si="0"/>
        <v>43738</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10</v>
      </c>
      <c r="C39" s="19"/>
      <c r="D39" s="19"/>
      <c r="E39" s="19"/>
      <c r="F39" s="19"/>
      <c r="G39" s="19"/>
      <c r="H39" s="19"/>
      <c r="I39" s="19"/>
    </row>
    <row r="40" spans="1:9" s="16" customFormat="1" x14ac:dyDescent="0.2">
      <c r="A40" s="18" t="s">
        <v>13</v>
      </c>
      <c r="B40" s="19">
        <v>360</v>
      </c>
      <c r="C40" s="19"/>
      <c r="D40" s="19"/>
      <c r="E40" s="19"/>
      <c r="F40" s="19"/>
      <c r="G40" s="19"/>
      <c r="H40" s="19"/>
      <c r="I40" s="19"/>
    </row>
    <row r="41" spans="1:9" s="16" customFormat="1" x14ac:dyDescent="0.2">
      <c r="A41" s="18" t="s">
        <v>12</v>
      </c>
      <c r="B41" s="19">
        <f>B39+B40</f>
        <v>370</v>
      </c>
      <c r="C41" s="19"/>
      <c r="D41" s="19"/>
      <c r="E41" s="19"/>
      <c r="F41" s="19"/>
      <c r="G41" s="19"/>
      <c r="H41" s="19"/>
      <c r="I41" s="19"/>
    </row>
    <row r="42" spans="1:9" s="16" customFormat="1" x14ac:dyDescent="0.2">
      <c r="A42" s="18" t="s">
        <v>11</v>
      </c>
      <c r="B42" s="17">
        <v>375</v>
      </c>
      <c r="C42" s="17"/>
      <c r="D42" s="17"/>
      <c r="E42" s="17"/>
      <c r="F42" s="17"/>
      <c r="G42" s="17"/>
      <c r="H42" s="17"/>
      <c r="I42" s="17"/>
    </row>
    <row r="43" spans="1:9" x14ac:dyDescent="0.2">
      <c r="B43" s="16"/>
      <c r="C43" s="16"/>
      <c r="D43" s="16"/>
    </row>
    <row r="44" spans="1:9" x14ac:dyDescent="0.2">
      <c r="A44" s="15" t="s">
        <v>10</v>
      </c>
      <c r="B44" s="27">
        <v>22</v>
      </c>
      <c r="C44" s="27"/>
      <c r="D44" s="27"/>
      <c r="E44" s="27"/>
      <c r="F44" s="27"/>
      <c r="G44" s="27"/>
      <c r="H44" s="14"/>
      <c r="I44" s="14"/>
    </row>
    <row r="46" spans="1:9" x14ac:dyDescent="0.2">
      <c r="A46" s="1" t="s">
        <v>9</v>
      </c>
      <c r="B46" s="12">
        <v>666.3</v>
      </c>
      <c r="C46" s="11"/>
      <c r="D46" s="11"/>
      <c r="E46" s="11"/>
      <c r="F46" s="11"/>
    </row>
    <row r="47" spans="1:9" x14ac:dyDescent="0.2">
      <c r="A47" s="1" t="s">
        <v>8</v>
      </c>
      <c r="B47" s="12">
        <v>68</v>
      </c>
      <c r="C47" s="11"/>
      <c r="D47" s="11"/>
      <c r="E47" s="11"/>
      <c r="F47" s="11"/>
    </row>
    <row r="48" spans="1:9" x14ac:dyDescent="0.2">
      <c r="A48" s="1" t="s">
        <v>7</v>
      </c>
      <c r="B48" s="11"/>
      <c r="C48" s="11"/>
      <c r="D48" s="11"/>
      <c r="E48" s="11"/>
      <c r="F48" s="11"/>
    </row>
    <row r="50" spans="1:9" s="10" customFormat="1" x14ac:dyDescent="0.2">
      <c r="A50" s="10" t="s">
        <v>6</v>
      </c>
      <c r="B50" s="10">
        <f>+SUM(B39:B40)/B47</f>
        <v>5.4411764705882355</v>
      </c>
    </row>
    <row r="51" spans="1:9" s="10" customFormat="1" x14ac:dyDescent="0.2">
      <c r="A51" s="10" t="s">
        <v>5</v>
      </c>
      <c r="B51" s="10">
        <f>+B41/B47</f>
        <v>5.4411764705882355</v>
      </c>
    </row>
    <row r="52" spans="1:9" s="10" customFormat="1" x14ac:dyDescent="0.2">
      <c r="A52" s="10" t="s">
        <v>4</v>
      </c>
      <c r="B52" s="10">
        <f>+(B41-B44)/B47</f>
        <v>5.117647058823529</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10.632352941176471</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F669-8081-4B70-B55A-E4936C2120D3}">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678</v>
      </c>
    </row>
    <row r="3" spans="1:9" s="35" customFormat="1" x14ac:dyDescent="0.2">
      <c r="A3" s="36" t="s">
        <v>43</v>
      </c>
      <c r="B3" s="35" t="s">
        <v>679</v>
      </c>
    </row>
    <row r="4" spans="1:9" x14ac:dyDescent="0.2">
      <c r="A4" s="34" t="s">
        <v>41</v>
      </c>
      <c r="B4" s="1" t="s">
        <v>40</v>
      </c>
    </row>
    <row r="5" spans="1:9" x14ac:dyDescent="0.2">
      <c r="A5" s="34" t="s">
        <v>39</v>
      </c>
    </row>
    <row r="6" spans="1:9" x14ac:dyDescent="0.2">
      <c r="A6" s="34" t="s">
        <v>38</v>
      </c>
      <c r="B6" s="1">
        <v>3</v>
      </c>
    </row>
    <row r="7" spans="1:9" x14ac:dyDescent="0.2">
      <c r="A7" s="34" t="s">
        <v>37</v>
      </c>
      <c r="B7" s="1" t="s">
        <v>422</v>
      </c>
    </row>
    <row r="8" spans="1:9" x14ac:dyDescent="0.2">
      <c r="A8" s="34" t="s">
        <v>281</v>
      </c>
      <c r="B8" s="1" t="s">
        <v>680</v>
      </c>
    </row>
    <row r="9" spans="1:9" x14ac:dyDescent="0.2">
      <c r="A9" s="22"/>
    </row>
    <row r="10" spans="1:9" x14ac:dyDescent="0.2">
      <c r="A10" s="22" t="s">
        <v>36</v>
      </c>
      <c r="B10" s="33">
        <v>44377</v>
      </c>
      <c r="C10" s="33">
        <f>EOMONTH(B10,-3)</f>
        <v>44286</v>
      </c>
      <c r="D10" s="33">
        <f t="shared" ref="D10:I10" si="0">EOMONTH(C10,-3)</f>
        <v>44196</v>
      </c>
      <c r="E10" s="33">
        <f t="shared" si="0"/>
        <v>44104</v>
      </c>
      <c r="F10" s="33">
        <f t="shared" si="0"/>
        <v>44012</v>
      </c>
      <c r="G10" s="33">
        <f t="shared" si="0"/>
        <v>43921</v>
      </c>
      <c r="H10" s="33">
        <f t="shared" si="0"/>
        <v>43830</v>
      </c>
      <c r="I10" s="33">
        <f t="shared" si="0"/>
        <v>43738</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469</v>
      </c>
      <c r="C40" s="19"/>
      <c r="D40" s="19"/>
      <c r="E40" s="19"/>
      <c r="F40" s="19"/>
      <c r="G40" s="19"/>
      <c r="H40" s="19"/>
      <c r="I40" s="19"/>
    </row>
    <row r="41" spans="1:9" s="16" customFormat="1" x14ac:dyDescent="0.2">
      <c r="A41" s="18" t="s">
        <v>12</v>
      </c>
      <c r="B41" s="19">
        <f>B39+B40+25</f>
        <v>494</v>
      </c>
      <c r="C41" s="19"/>
      <c r="D41" s="19"/>
      <c r="E41" s="19"/>
      <c r="F41" s="19"/>
      <c r="G41" s="19"/>
      <c r="H41" s="19"/>
      <c r="I41" s="19"/>
    </row>
    <row r="42" spans="1:9" s="16" customFormat="1" x14ac:dyDescent="0.2">
      <c r="A42" s="18" t="s">
        <v>11</v>
      </c>
      <c r="B42" s="17">
        <v>530</v>
      </c>
      <c r="C42" s="17"/>
      <c r="D42" s="17"/>
      <c r="E42" s="17"/>
      <c r="F42" s="17"/>
      <c r="G42" s="17"/>
      <c r="H42" s="17"/>
      <c r="I42" s="17"/>
    </row>
    <row r="43" spans="1:9" x14ac:dyDescent="0.2">
      <c r="B43" s="16"/>
      <c r="C43" s="16"/>
      <c r="D43" s="16"/>
    </row>
    <row r="44" spans="1:9" x14ac:dyDescent="0.2">
      <c r="A44" s="15" t="s">
        <v>10</v>
      </c>
      <c r="B44" s="27">
        <v>5</v>
      </c>
      <c r="C44" s="27"/>
      <c r="D44" s="27"/>
      <c r="E44" s="27"/>
      <c r="F44" s="27"/>
      <c r="G44" s="27"/>
      <c r="H44" s="14"/>
      <c r="I44" s="14"/>
    </row>
    <row r="46" spans="1:9" x14ac:dyDescent="0.2">
      <c r="A46" s="1" t="s">
        <v>9</v>
      </c>
      <c r="B46" s="12">
        <v>975</v>
      </c>
      <c r="C46" s="11"/>
      <c r="D46" s="11"/>
      <c r="E46" s="11"/>
      <c r="F46" s="11"/>
    </row>
    <row r="47" spans="1:9" x14ac:dyDescent="0.2">
      <c r="A47" s="1" t="s">
        <v>8</v>
      </c>
      <c r="B47" s="12">
        <v>94</v>
      </c>
      <c r="C47" s="11"/>
      <c r="D47" s="11"/>
      <c r="E47" s="11"/>
      <c r="F47" s="11"/>
    </row>
    <row r="48" spans="1:9" x14ac:dyDescent="0.2">
      <c r="A48" s="1" t="s">
        <v>7</v>
      </c>
      <c r="B48" s="11"/>
      <c r="C48" s="11"/>
      <c r="D48" s="11"/>
      <c r="E48" s="11"/>
      <c r="F48" s="11"/>
    </row>
    <row r="50" spans="1:9" s="10" customFormat="1" x14ac:dyDescent="0.2">
      <c r="A50" s="10" t="s">
        <v>6</v>
      </c>
      <c r="B50" s="10">
        <f>+SUM(B39:B40)/B47</f>
        <v>4.9893617021276597</v>
      </c>
    </row>
    <row r="51" spans="1:9" s="10" customFormat="1" x14ac:dyDescent="0.2">
      <c r="A51" s="10" t="s">
        <v>5</v>
      </c>
      <c r="B51" s="10">
        <f>+B41/B47</f>
        <v>5.2553191489361701</v>
      </c>
    </row>
    <row r="52" spans="1:9" s="10" customFormat="1" x14ac:dyDescent="0.2">
      <c r="A52" s="10" t="s">
        <v>4</v>
      </c>
      <c r="B52" s="10">
        <f>+(B41-B44)/B47</f>
        <v>5.2021276595744679</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10.840425531914894</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L59"/>
  <sheetViews>
    <sheetView showGridLines="0" zoomScaleNormal="100" workbookViewId="0">
      <pane xSplit="1" ySplit="10" topLeftCell="B11" activePane="bottomRight" state="frozen"/>
      <selection activeCell="Q43" sqref="Q43"/>
      <selection pane="topRight" activeCell="Q43" sqref="Q43"/>
      <selection pane="bottomLeft" activeCell="Q43" sqref="Q43"/>
      <selection pane="bottomRight" activeCell="Q43" sqref="Q43"/>
    </sheetView>
  </sheetViews>
  <sheetFormatPr defaultRowHeight="12.75" x14ac:dyDescent="0.2"/>
  <cols>
    <col min="1" max="1" width="22.7109375" style="1" customWidth="1"/>
    <col min="2" max="12" width="10.7109375" style="1" customWidth="1"/>
    <col min="13" max="16384" width="9.140625" style="1"/>
  </cols>
  <sheetData>
    <row r="2" spans="1:12" x14ac:dyDescent="0.2">
      <c r="A2" s="34" t="s">
        <v>45</v>
      </c>
      <c r="B2" s="1" t="s">
        <v>70</v>
      </c>
    </row>
    <row r="3" spans="1:12" s="35" customFormat="1" x14ac:dyDescent="0.2">
      <c r="A3" s="36" t="s">
        <v>43</v>
      </c>
      <c r="B3" s="35" t="s">
        <v>105</v>
      </c>
    </row>
    <row r="4" spans="1:12" x14ac:dyDescent="0.2">
      <c r="A4" s="34" t="s">
        <v>41</v>
      </c>
      <c r="B4" s="1" t="s">
        <v>40</v>
      </c>
    </row>
    <row r="5" spans="1:12" x14ac:dyDescent="0.2">
      <c r="A5" s="34" t="s">
        <v>39</v>
      </c>
    </row>
    <row r="6" spans="1:12" x14ac:dyDescent="0.2">
      <c r="A6" s="34" t="s">
        <v>38</v>
      </c>
      <c r="B6" s="1">
        <v>4</v>
      </c>
    </row>
    <row r="7" spans="1:12" x14ac:dyDescent="0.2">
      <c r="A7" s="34" t="s">
        <v>37</v>
      </c>
      <c r="B7" s="1" t="e">
        <v>#N/A</v>
      </c>
    </row>
    <row r="8" spans="1:12" x14ac:dyDescent="0.2">
      <c r="A8" s="34" t="s">
        <v>281</v>
      </c>
      <c r="B8" s="1" t="e">
        <v>#N/A</v>
      </c>
    </row>
    <row r="9" spans="1:12" x14ac:dyDescent="0.2">
      <c r="A9" s="22"/>
    </row>
    <row r="10" spans="1:12" x14ac:dyDescent="0.2">
      <c r="A10" s="22" t="s">
        <v>36</v>
      </c>
      <c r="B10" s="33">
        <v>43372</v>
      </c>
      <c r="C10" s="33">
        <v>43281</v>
      </c>
      <c r="D10" s="33">
        <v>43190</v>
      </c>
      <c r="E10" s="33">
        <v>43100</v>
      </c>
      <c r="F10" s="33">
        <f t="shared" ref="F10:L10" si="0">EOMONTH(E10,-3)</f>
        <v>43008</v>
      </c>
      <c r="G10" s="33">
        <f t="shared" si="0"/>
        <v>42916</v>
      </c>
      <c r="H10" s="33">
        <f t="shared" si="0"/>
        <v>42825</v>
      </c>
      <c r="I10" s="33">
        <f t="shared" si="0"/>
        <v>42735</v>
      </c>
      <c r="J10" s="33">
        <f t="shared" si="0"/>
        <v>42643</v>
      </c>
      <c r="K10" s="33">
        <f t="shared" si="0"/>
        <v>42551</v>
      </c>
      <c r="L10" s="33">
        <f t="shared" si="0"/>
        <v>42460</v>
      </c>
    </row>
    <row r="12" spans="1:12" x14ac:dyDescent="0.2">
      <c r="A12" s="15" t="s">
        <v>35</v>
      </c>
      <c r="B12" s="19">
        <v>88.852000000000004</v>
      </c>
      <c r="C12" s="19">
        <v>88.707999999999998</v>
      </c>
      <c r="D12" s="19">
        <v>80.241</v>
      </c>
      <c r="E12" s="19">
        <v>81.234999999999999</v>
      </c>
      <c r="F12" s="19">
        <v>86.71</v>
      </c>
      <c r="G12" s="19">
        <v>87.784999999999997</v>
      </c>
      <c r="H12" s="19">
        <v>83.355000000000004</v>
      </c>
      <c r="I12" s="19">
        <v>63.268999999999998</v>
      </c>
      <c r="J12" s="19">
        <v>63.033999999999999</v>
      </c>
      <c r="K12" s="19">
        <v>63.444899999999997</v>
      </c>
      <c r="L12" s="19">
        <v>60.421999999999997</v>
      </c>
    </row>
    <row r="13" spans="1:12" s="28" customFormat="1" x14ac:dyDescent="0.2">
      <c r="A13" s="28" t="s">
        <v>34</v>
      </c>
      <c r="B13" s="28">
        <f t="shared" ref="B13:H13" si="1">+B12/F12-1</f>
        <v>2.470303309883537E-2</v>
      </c>
      <c r="C13" s="28">
        <f t="shared" si="1"/>
        <v>1.0514324770746653E-2</v>
      </c>
      <c r="D13" s="28">
        <f t="shared" si="1"/>
        <v>-3.7358286845420197E-2</v>
      </c>
      <c r="E13" s="28">
        <f t="shared" si="1"/>
        <v>0.2839621299530577</v>
      </c>
      <c r="F13" s="28">
        <f t="shared" si="1"/>
        <v>0.37560681536948315</v>
      </c>
      <c r="G13" s="28">
        <f t="shared" si="1"/>
        <v>0.38364155353700613</v>
      </c>
      <c r="H13" s="28">
        <f t="shared" si="1"/>
        <v>0.37954718480023852</v>
      </c>
    </row>
    <row r="14" spans="1:12" s="23" customFormat="1" x14ac:dyDescent="0.2">
      <c r="A14" s="31" t="s">
        <v>33</v>
      </c>
      <c r="B14" s="32" t="s">
        <v>32</v>
      </c>
      <c r="C14" s="32" t="s">
        <v>32</v>
      </c>
      <c r="D14" s="32" t="s">
        <v>32</v>
      </c>
      <c r="E14" s="32" t="s">
        <v>32</v>
      </c>
      <c r="F14" s="32" t="s">
        <v>32</v>
      </c>
      <c r="G14" s="32" t="s">
        <v>32</v>
      </c>
      <c r="H14" s="32" t="s">
        <v>32</v>
      </c>
      <c r="I14" s="31"/>
      <c r="J14" s="31"/>
      <c r="K14" s="31"/>
      <c r="L14" s="31"/>
    </row>
    <row r="16" spans="1:12" s="22" customFormat="1" x14ac:dyDescent="0.2">
      <c r="A16" s="30" t="s">
        <v>31</v>
      </c>
      <c r="B16" s="29">
        <v>17.469000000000001</v>
      </c>
      <c r="C16" s="29">
        <v>16.95</v>
      </c>
      <c r="D16" s="29">
        <v>14.717000000000001</v>
      </c>
      <c r="E16" s="29">
        <v>17.320000000000007</v>
      </c>
      <c r="F16" s="29">
        <v>18.560999999999989</v>
      </c>
      <c r="G16" s="29">
        <v>19.071999999999992</v>
      </c>
      <c r="H16" s="29">
        <v>11.530000000000024</v>
      </c>
      <c r="I16" s="29">
        <v>9.8360000000000039</v>
      </c>
      <c r="J16" s="29">
        <v>11.540999999999999</v>
      </c>
      <c r="K16" s="29">
        <v>11.083899999999995</v>
      </c>
      <c r="L16" s="29">
        <v>9.6469999999999967</v>
      </c>
    </row>
    <row r="17" spans="1:12" s="28" customFormat="1" x14ac:dyDescent="0.2">
      <c r="A17" s="28" t="s">
        <v>30</v>
      </c>
      <c r="B17" s="28">
        <f t="shared" ref="B17:L17" si="2">+B16/B12</f>
        <v>0.19660784225453565</v>
      </c>
      <c r="C17" s="28">
        <f t="shared" si="2"/>
        <v>0.19107634035261759</v>
      </c>
      <c r="D17" s="28">
        <f t="shared" si="2"/>
        <v>0.18340997744295312</v>
      </c>
      <c r="E17" s="28">
        <f t="shared" si="2"/>
        <v>0.21320859235551187</v>
      </c>
      <c r="F17" s="28">
        <f t="shared" si="2"/>
        <v>0.21405835543766569</v>
      </c>
      <c r="G17" s="28">
        <f t="shared" si="2"/>
        <v>0.21725807370279651</v>
      </c>
      <c r="H17" s="28">
        <f t="shared" si="2"/>
        <v>0.13832403575070509</v>
      </c>
      <c r="I17" s="28">
        <f t="shared" si="2"/>
        <v>0.15546318102072113</v>
      </c>
      <c r="J17" s="28">
        <f t="shared" si="2"/>
        <v>0.18309166481581368</v>
      </c>
      <c r="K17" s="28">
        <f t="shared" si="2"/>
        <v>0.17470119741697118</v>
      </c>
      <c r="L17" s="28">
        <f t="shared" si="2"/>
        <v>0.1596603886001787</v>
      </c>
    </row>
    <row r="18" spans="1:12" s="23" customFormat="1" x14ac:dyDescent="0.2"/>
    <row r="19" spans="1:12" s="23" customFormat="1" x14ac:dyDescent="0.2">
      <c r="A19" s="15" t="s">
        <v>29</v>
      </c>
      <c r="B19" s="19">
        <v>0</v>
      </c>
      <c r="C19" s="19">
        <v>0</v>
      </c>
      <c r="D19" s="19">
        <v>0</v>
      </c>
      <c r="E19" s="19">
        <v>0</v>
      </c>
      <c r="F19" s="19">
        <v>0</v>
      </c>
      <c r="G19" s="19">
        <v>0</v>
      </c>
      <c r="H19" s="19">
        <v>0</v>
      </c>
      <c r="I19" s="19">
        <v>0</v>
      </c>
      <c r="J19" s="19">
        <v>0</v>
      </c>
      <c r="K19" s="19">
        <v>0</v>
      </c>
      <c r="L19" s="19">
        <v>0</v>
      </c>
    </row>
    <row r="20" spans="1:12" s="23" customFormat="1" x14ac:dyDescent="0.2">
      <c r="A20" s="15" t="s">
        <v>28</v>
      </c>
      <c r="B20" s="19">
        <v>0</v>
      </c>
      <c r="C20" s="19">
        <v>0</v>
      </c>
      <c r="D20" s="19">
        <v>0</v>
      </c>
      <c r="E20" s="19">
        <v>0</v>
      </c>
      <c r="F20" s="19">
        <v>0</v>
      </c>
      <c r="G20" s="19">
        <v>0</v>
      </c>
      <c r="H20" s="19">
        <v>0</v>
      </c>
      <c r="I20" s="19">
        <v>0</v>
      </c>
      <c r="J20" s="19">
        <v>0</v>
      </c>
      <c r="K20" s="19">
        <v>0</v>
      </c>
      <c r="L20" s="19">
        <v>0</v>
      </c>
    </row>
    <row r="21" spans="1:12" s="23" customFormat="1" x14ac:dyDescent="0.2">
      <c r="A21" s="15" t="s">
        <v>18</v>
      </c>
      <c r="B21" s="19">
        <v>0</v>
      </c>
      <c r="C21" s="19">
        <v>0</v>
      </c>
      <c r="D21" s="19">
        <v>0</v>
      </c>
      <c r="E21" s="19">
        <v>0</v>
      </c>
      <c r="F21" s="19">
        <v>0</v>
      </c>
      <c r="G21" s="19">
        <v>0</v>
      </c>
      <c r="H21" s="19">
        <v>0</v>
      </c>
      <c r="I21" s="19">
        <v>0</v>
      </c>
      <c r="J21" s="19">
        <v>0</v>
      </c>
      <c r="K21" s="19">
        <v>0</v>
      </c>
      <c r="L21" s="19">
        <v>0</v>
      </c>
    </row>
    <row r="22" spans="1:12" s="22" customFormat="1" x14ac:dyDescent="0.2">
      <c r="A22" s="22" t="s">
        <v>23</v>
      </c>
      <c r="B22" s="20">
        <f t="shared" ref="B22:L22" si="3">SUM(B16,B19:B21)</f>
        <v>17.469000000000001</v>
      </c>
      <c r="C22" s="20">
        <f t="shared" si="3"/>
        <v>16.95</v>
      </c>
      <c r="D22" s="20">
        <f t="shared" si="3"/>
        <v>14.717000000000001</v>
      </c>
      <c r="E22" s="20">
        <f t="shared" si="3"/>
        <v>17.320000000000007</v>
      </c>
      <c r="F22" s="20">
        <f t="shared" si="3"/>
        <v>18.560999999999989</v>
      </c>
      <c r="G22" s="20">
        <f t="shared" si="3"/>
        <v>19.071999999999992</v>
      </c>
      <c r="H22" s="20">
        <f t="shared" si="3"/>
        <v>11.530000000000024</v>
      </c>
      <c r="I22" s="20">
        <f t="shared" si="3"/>
        <v>9.8360000000000039</v>
      </c>
      <c r="J22" s="20">
        <f t="shared" si="3"/>
        <v>11.540999999999999</v>
      </c>
      <c r="K22" s="20">
        <f t="shared" si="3"/>
        <v>11.083899999999995</v>
      </c>
      <c r="L22" s="20">
        <f t="shared" si="3"/>
        <v>9.6469999999999967</v>
      </c>
    </row>
    <row r="23" spans="1:12" s="22" customFormat="1" x14ac:dyDescent="0.2">
      <c r="B23" s="28"/>
      <c r="C23" s="20"/>
      <c r="D23" s="20"/>
      <c r="E23" s="20"/>
      <c r="F23" s="20"/>
      <c r="G23" s="20"/>
      <c r="H23" s="20"/>
      <c r="I23" s="20"/>
      <c r="J23" s="20"/>
      <c r="K23" s="20"/>
      <c r="L23" s="20"/>
    </row>
    <row r="24" spans="1:12" s="22" customFormat="1" x14ac:dyDescent="0.2">
      <c r="A24" s="22" t="s">
        <v>27</v>
      </c>
      <c r="B24" s="20">
        <f t="shared" ref="B24:I24" si="4">SUM(B22:E22)</f>
        <v>66.456000000000003</v>
      </c>
      <c r="C24" s="20">
        <f t="shared" si="4"/>
        <v>67.548000000000002</v>
      </c>
      <c r="D24" s="20">
        <f t="shared" si="4"/>
        <v>69.669999999999987</v>
      </c>
      <c r="E24" s="20">
        <f t="shared" si="4"/>
        <v>66.483000000000018</v>
      </c>
      <c r="F24" s="20">
        <f t="shared" si="4"/>
        <v>58.999000000000009</v>
      </c>
      <c r="G24" s="20">
        <f t="shared" si="4"/>
        <v>51.979000000000021</v>
      </c>
      <c r="H24" s="20">
        <f t="shared" si="4"/>
        <v>43.990900000000018</v>
      </c>
      <c r="I24" s="20">
        <f t="shared" si="4"/>
        <v>42.107899999999994</v>
      </c>
      <c r="J24" s="20"/>
      <c r="K24" s="20"/>
      <c r="L24" s="20"/>
    </row>
    <row r="25" spans="1:12" s="23" customFormat="1" x14ac:dyDescent="0.2">
      <c r="A25" s="15" t="s">
        <v>26</v>
      </c>
      <c r="B25" s="27">
        <f>69.349-B24</f>
        <v>2.8930000000000007</v>
      </c>
      <c r="C25" s="27">
        <f>69.826-C24</f>
        <v>2.2779999999999916</v>
      </c>
      <c r="D25" s="27">
        <v>0</v>
      </c>
      <c r="E25" s="27">
        <v>0</v>
      </c>
      <c r="F25" s="27">
        <v>0</v>
      </c>
      <c r="G25" s="27">
        <v>0</v>
      </c>
      <c r="H25" s="27">
        <v>0</v>
      </c>
      <c r="I25" s="27">
        <v>0</v>
      </c>
      <c r="J25" s="27">
        <v>0</v>
      </c>
      <c r="K25" s="27">
        <v>0</v>
      </c>
      <c r="L25" s="27">
        <v>0</v>
      </c>
    </row>
    <row r="26" spans="1:12" s="23" customFormat="1" x14ac:dyDescent="0.2">
      <c r="A26" s="15" t="s">
        <v>25</v>
      </c>
      <c r="B26" s="21">
        <v>0</v>
      </c>
      <c r="C26" s="21">
        <v>0</v>
      </c>
      <c r="D26" s="21">
        <v>0</v>
      </c>
      <c r="E26" s="21">
        <v>0</v>
      </c>
      <c r="F26" s="21">
        <v>0</v>
      </c>
      <c r="G26" s="21">
        <v>0</v>
      </c>
      <c r="H26" s="21">
        <v>0</v>
      </c>
      <c r="I26" s="21">
        <v>0</v>
      </c>
      <c r="J26" s="26"/>
      <c r="K26" s="26"/>
      <c r="L26" s="26"/>
    </row>
    <row r="27" spans="1:12" s="24" customFormat="1" x14ac:dyDescent="0.2">
      <c r="A27" s="22" t="s">
        <v>24</v>
      </c>
      <c r="B27" s="20">
        <f t="shared" ref="B27:C27" si="5">SUM(B24:B26)</f>
        <v>69.349000000000004</v>
      </c>
      <c r="C27" s="20">
        <f t="shared" si="5"/>
        <v>69.825999999999993</v>
      </c>
      <c r="D27" s="20">
        <f t="shared" ref="D27:I27" si="6">SUM(D24:D26)</f>
        <v>69.669999999999987</v>
      </c>
      <c r="E27" s="20">
        <f t="shared" si="6"/>
        <v>66.483000000000018</v>
      </c>
      <c r="F27" s="20">
        <f t="shared" si="6"/>
        <v>58.999000000000009</v>
      </c>
      <c r="G27" s="20">
        <f t="shared" si="6"/>
        <v>51.979000000000021</v>
      </c>
      <c r="H27" s="20">
        <f t="shared" si="6"/>
        <v>43.990900000000018</v>
      </c>
      <c r="I27" s="20">
        <f t="shared" si="6"/>
        <v>42.107899999999994</v>
      </c>
      <c r="J27" s="25"/>
      <c r="K27" s="25"/>
      <c r="L27" s="25"/>
    </row>
    <row r="28" spans="1:12" s="23" customFormat="1" x14ac:dyDescent="0.2"/>
    <row r="29" spans="1:12" s="22" customFormat="1" x14ac:dyDescent="0.2">
      <c r="A29" s="22" t="s">
        <v>23</v>
      </c>
      <c r="B29" s="20">
        <f t="shared" ref="B29:L29" si="7">B22</f>
        <v>17.469000000000001</v>
      </c>
      <c r="C29" s="20">
        <f t="shared" si="7"/>
        <v>16.95</v>
      </c>
      <c r="D29" s="20">
        <f t="shared" si="7"/>
        <v>14.717000000000001</v>
      </c>
      <c r="E29" s="20">
        <f t="shared" si="7"/>
        <v>17.320000000000007</v>
      </c>
      <c r="F29" s="20">
        <f t="shared" si="7"/>
        <v>18.560999999999989</v>
      </c>
      <c r="G29" s="20">
        <f t="shared" si="7"/>
        <v>19.071999999999992</v>
      </c>
      <c r="H29" s="20">
        <f t="shared" si="7"/>
        <v>11.530000000000024</v>
      </c>
      <c r="I29" s="20">
        <f t="shared" si="7"/>
        <v>9.8360000000000039</v>
      </c>
      <c r="J29" s="20">
        <f t="shared" si="7"/>
        <v>11.540999999999999</v>
      </c>
      <c r="K29" s="20">
        <f t="shared" si="7"/>
        <v>11.083899999999995</v>
      </c>
      <c r="L29" s="20">
        <f t="shared" si="7"/>
        <v>9.6469999999999967</v>
      </c>
    </row>
    <row r="30" spans="1:12" s="11" customFormat="1" x14ac:dyDescent="0.2">
      <c r="A30" s="19" t="s">
        <v>22</v>
      </c>
      <c r="B30" s="19">
        <v>-7.9340000000000002</v>
      </c>
      <c r="C30" s="19">
        <v>-7.5839999999999996</v>
      </c>
      <c r="D30" s="19">
        <v>-0.77</v>
      </c>
      <c r="E30" s="19">
        <v>0</v>
      </c>
      <c r="F30" s="19">
        <v>0</v>
      </c>
      <c r="G30" s="19">
        <v>0</v>
      </c>
      <c r="H30" s="19">
        <v>0</v>
      </c>
      <c r="I30" s="19">
        <v>0</v>
      </c>
      <c r="J30" s="19">
        <v>0</v>
      </c>
      <c r="K30" s="19">
        <v>0</v>
      </c>
      <c r="L30" s="19">
        <v>0</v>
      </c>
    </row>
    <row r="31" spans="1:12" s="11" customFormat="1" x14ac:dyDescent="0.2">
      <c r="A31" s="19" t="s">
        <v>21</v>
      </c>
      <c r="B31" s="19">
        <v>-0.249</v>
      </c>
      <c r="C31" s="19">
        <v>-0.36699999999999999</v>
      </c>
      <c r="D31" s="19">
        <v>-0.16200000000000001</v>
      </c>
      <c r="E31" s="19">
        <v>-3.2530000000000001</v>
      </c>
      <c r="F31" s="19">
        <v>-3.6309999999999998</v>
      </c>
      <c r="G31" s="19">
        <v>-3.6539999999999999</v>
      </c>
      <c r="H31" s="19">
        <v>-1.5309999999999999</v>
      </c>
      <c r="I31" s="19">
        <v>-1.9419999999999999</v>
      </c>
      <c r="J31" s="19">
        <v>-2.6309999999999998</v>
      </c>
      <c r="K31" s="19">
        <v>-2.3140000000000001</v>
      </c>
      <c r="L31" s="19">
        <v>-2.1190000000000002</v>
      </c>
    </row>
    <row r="32" spans="1:12" s="11" customFormat="1" x14ac:dyDescent="0.2">
      <c r="A32" s="19" t="s">
        <v>20</v>
      </c>
      <c r="B32" s="19">
        <f>-1.01+1.688+0.246+3.991-0.332</f>
        <v>4.5830000000000002</v>
      </c>
      <c r="C32" s="19">
        <v>1.7610000000000003</v>
      </c>
      <c r="D32" s="19">
        <f>3.833-1.727-0.243-11.144-0.294</f>
        <v>-9.5750000000000011</v>
      </c>
      <c r="E32" s="19">
        <v>4.0289999999999999</v>
      </c>
      <c r="F32" s="19">
        <v>2.2189999999999999</v>
      </c>
      <c r="G32" s="19">
        <v>5.7810000000000006</v>
      </c>
      <c r="H32" s="19">
        <v>-11.241</v>
      </c>
      <c r="I32" s="19">
        <v>2.8940000000000001</v>
      </c>
      <c r="J32" s="19">
        <v>1.7110000000000001</v>
      </c>
      <c r="K32" s="19">
        <v>4.9939999999999998</v>
      </c>
      <c r="L32" s="19">
        <v>-20.337</v>
      </c>
    </row>
    <row r="33" spans="1:12" s="11" customFormat="1" x14ac:dyDescent="0.2">
      <c r="A33" s="19" t="s">
        <v>19</v>
      </c>
      <c r="B33" s="19">
        <v>0</v>
      </c>
      <c r="C33" s="19">
        <v>0</v>
      </c>
      <c r="D33" s="19">
        <v>0</v>
      </c>
      <c r="E33" s="19">
        <v>0</v>
      </c>
      <c r="F33" s="19">
        <v>0</v>
      </c>
      <c r="G33" s="19">
        <v>0</v>
      </c>
      <c r="H33" s="19">
        <v>0</v>
      </c>
      <c r="I33" s="19">
        <v>0</v>
      </c>
      <c r="J33" s="19">
        <v>0</v>
      </c>
      <c r="K33" s="19">
        <v>0</v>
      </c>
      <c r="L33" s="19">
        <v>0</v>
      </c>
    </row>
    <row r="34" spans="1:12" s="11" customFormat="1" x14ac:dyDescent="0.2">
      <c r="A34" s="19" t="s">
        <v>18</v>
      </c>
      <c r="B34" s="21">
        <v>0</v>
      </c>
      <c r="C34" s="21">
        <v>0</v>
      </c>
      <c r="D34" s="21">
        <v>0</v>
      </c>
      <c r="E34" s="21">
        <v>0</v>
      </c>
      <c r="F34" s="21">
        <v>0</v>
      </c>
      <c r="G34" s="21">
        <v>0</v>
      </c>
      <c r="H34" s="21">
        <v>0</v>
      </c>
      <c r="I34" s="21">
        <v>0</v>
      </c>
      <c r="J34" s="21">
        <v>0</v>
      </c>
      <c r="K34" s="21">
        <v>0</v>
      </c>
      <c r="L34" s="21">
        <v>0</v>
      </c>
    </row>
    <row r="35" spans="1:12" s="20" customFormat="1" x14ac:dyDescent="0.2">
      <c r="A35" s="20" t="s">
        <v>17</v>
      </c>
      <c r="B35" s="20">
        <v>12.683</v>
      </c>
      <c r="C35" s="20">
        <v>10.766</v>
      </c>
      <c r="D35" s="20">
        <v>-17.611999999999998</v>
      </c>
      <c r="E35" s="20">
        <v>15.361000000000001</v>
      </c>
      <c r="F35" s="20">
        <v>14.273</v>
      </c>
      <c r="G35" s="20">
        <v>18.768000000000001</v>
      </c>
      <c r="H35" s="20">
        <v>-2.3519999999999999</v>
      </c>
      <c r="I35" s="20">
        <v>9.7270000000000003</v>
      </c>
      <c r="J35" s="20">
        <v>9.609</v>
      </c>
      <c r="K35" s="20">
        <v>12.555</v>
      </c>
      <c r="L35" s="20">
        <v>-13.901</v>
      </c>
    </row>
    <row r="36" spans="1:12" s="11" customFormat="1" x14ac:dyDescent="0.2">
      <c r="A36" s="19" t="s">
        <v>16</v>
      </c>
      <c r="B36" s="21">
        <v>-2.2389999999999999</v>
      </c>
      <c r="C36" s="21">
        <v>-1.0620000000000001</v>
      </c>
      <c r="D36" s="21">
        <v>-10.054</v>
      </c>
      <c r="E36" s="21">
        <v>-1.1080000000000001</v>
      </c>
      <c r="F36" s="21">
        <v>-2.7490000000000001</v>
      </c>
      <c r="G36" s="21">
        <v>-1.774</v>
      </c>
      <c r="H36" s="21">
        <v>-1.514</v>
      </c>
      <c r="I36" s="21">
        <v>-3.2309999999999999</v>
      </c>
      <c r="J36" s="21">
        <v>-2.089</v>
      </c>
      <c r="K36" s="21">
        <v>-1.774</v>
      </c>
      <c r="L36" s="21">
        <v>-1.909</v>
      </c>
    </row>
    <row r="37" spans="1:12" s="20" customFormat="1" x14ac:dyDescent="0.2">
      <c r="A37" s="20" t="s">
        <v>15</v>
      </c>
      <c r="B37" s="20">
        <f t="shared" ref="B37:L37" si="8">+B35+B36</f>
        <v>10.443999999999999</v>
      </c>
      <c r="C37" s="20">
        <f t="shared" si="8"/>
        <v>9.7040000000000006</v>
      </c>
      <c r="D37" s="20">
        <f t="shared" si="8"/>
        <v>-27.665999999999997</v>
      </c>
      <c r="E37" s="20">
        <f t="shared" si="8"/>
        <v>14.253</v>
      </c>
      <c r="F37" s="20">
        <f t="shared" si="8"/>
        <v>11.523999999999999</v>
      </c>
      <c r="G37" s="20">
        <f t="shared" si="8"/>
        <v>16.994</v>
      </c>
      <c r="H37" s="20">
        <f t="shared" si="8"/>
        <v>-3.8659999999999997</v>
      </c>
      <c r="I37" s="20">
        <f t="shared" si="8"/>
        <v>6.4960000000000004</v>
      </c>
      <c r="J37" s="20">
        <f t="shared" si="8"/>
        <v>7.52</v>
      </c>
      <c r="K37" s="20">
        <f t="shared" si="8"/>
        <v>10.780999999999999</v>
      </c>
      <c r="L37" s="20">
        <f t="shared" si="8"/>
        <v>-15.81</v>
      </c>
    </row>
    <row r="38" spans="1:12" x14ac:dyDescent="0.2">
      <c r="C38" s="11"/>
    </row>
    <row r="39" spans="1:12" s="16" customFormat="1" x14ac:dyDescent="0.2">
      <c r="A39" s="18" t="s">
        <v>14</v>
      </c>
      <c r="B39" s="19">
        <v>0</v>
      </c>
      <c r="C39" s="19">
        <v>0</v>
      </c>
      <c r="D39" s="19">
        <v>0</v>
      </c>
      <c r="E39" s="19">
        <v>0</v>
      </c>
      <c r="F39" s="19"/>
      <c r="G39" s="19"/>
      <c r="H39" s="19"/>
      <c r="I39" s="19"/>
      <c r="J39" s="19"/>
      <c r="K39" s="19"/>
      <c r="L39" s="19"/>
    </row>
    <row r="40" spans="1:12" s="16" customFormat="1" x14ac:dyDescent="0.2">
      <c r="A40" s="18" t="s">
        <v>13</v>
      </c>
      <c r="B40" s="19">
        <v>330.83800000000002</v>
      </c>
      <c r="C40" s="19">
        <v>331.66899999999998</v>
      </c>
      <c r="D40" s="19">
        <v>320</v>
      </c>
      <c r="E40" s="19">
        <v>320</v>
      </c>
      <c r="F40" s="19"/>
      <c r="G40" s="19"/>
      <c r="H40" s="19"/>
      <c r="I40" s="19"/>
      <c r="J40" s="19"/>
      <c r="K40" s="19"/>
      <c r="L40" s="19"/>
    </row>
    <row r="41" spans="1:12" s="16" customFormat="1" x14ac:dyDescent="0.2">
      <c r="A41" s="18" t="s">
        <v>12</v>
      </c>
      <c r="B41" s="19">
        <f>B39+B40+92.5</f>
        <v>423.33800000000002</v>
      </c>
      <c r="C41" s="19">
        <f>C39+C40+92.5</f>
        <v>424.16899999999998</v>
      </c>
      <c r="D41" s="19">
        <f>D39+D40+105</f>
        <v>425</v>
      </c>
      <c r="E41" s="19">
        <f>E39+E40+105</f>
        <v>425</v>
      </c>
      <c r="F41" s="19"/>
      <c r="G41" s="19"/>
      <c r="H41" s="19"/>
      <c r="I41" s="19"/>
      <c r="J41" s="19"/>
      <c r="K41" s="19"/>
      <c r="L41" s="19"/>
    </row>
    <row r="42" spans="1:12" s="16" customFormat="1" x14ac:dyDescent="0.2">
      <c r="A42" s="18" t="s">
        <v>11</v>
      </c>
      <c r="B42" s="17">
        <v>350</v>
      </c>
      <c r="C42" s="17">
        <v>350</v>
      </c>
      <c r="D42" s="17">
        <v>350</v>
      </c>
      <c r="E42" s="17">
        <v>350</v>
      </c>
      <c r="F42" s="17"/>
      <c r="G42" s="17"/>
      <c r="H42" s="17"/>
      <c r="I42" s="17"/>
      <c r="J42" s="17"/>
      <c r="K42" s="17"/>
      <c r="L42" s="17"/>
    </row>
    <row r="43" spans="1:12" x14ac:dyDescent="0.2">
      <c r="B43" s="16"/>
      <c r="C43" s="16"/>
      <c r="D43" s="16"/>
      <c r="E43" s="16"/>
      <c r="F43" s="16"/>
      <c r="G43" s="16"/>
    </row>
    <row r="44" spans="1:12" x14ac:dyDescent="0.2">
      <c r="A44" s="15" t="s">
        <v>10</v>
      </c>
      <c r="B44" s="27">
        <v>25.939</v>
      </c>
      <c r="C44" s="27">
        <v>20.074999999999999</v>
      </c>
      <c r="D44" s="27">
        <v>11.202</v>
      </c>
      <c r="E44" s="27">
        <v>3</v>
      </c>
      <c r="F44" s="27"/>
      <c r="G44" s="27"/>
      <c r="H44" s="27"/>
      <c r="I44" s="27"/>
      <c r="J44" s="14"/>
      <c r="K44" s="14"/>
      <c r="L44" s="14"/>
    </row>
    <row r="46" spans="1:12" x14ac:dyDescent="0.2">
      <c r="A46" s="1" t="s">
        <v>9</v>
      </c>
      <c r="B46" s="11">
        <f t="shared" ref="B46:I46" si="9">SUM(B12:E12)</f>
        <v>339.036</v>
      </c>
      <c r="C46" s="11">
        <f t="shared" si="9"/>
        <v>336.89400000000001</v>
      </c>
      <c r="D46" s="11">
        <f t="shared" si="9"/>
        <v>335.971</v>
      </c>
      <c r="E46" s="11">
        <f t="shared" si="9"/>
        <v>339.08499999999998</v>
      </c>
      <c r="F46" s="11">
        <f t="shared" si="9"/>
        <v>321.11900000000003</v>
      </c>
      <c r="G46" s="11">
        <f t="shared" si="9"/>
        <v>297.44299999999998</v>
      </c>
      <c r="H46" s="11">
        <f t="shared" si="9"/>
        <v>273.10289999999998</v>
      </c>
      <c r="I46" s="11">
        <f t="shared" si="9"/>
        <v>250.16989999999998</v>
      </c>
    </row>
    <row r="47" spans="1:12" x14ac:dyDescent="0.2">
      <c r="A47" s="1" t="s">
        <v>8</v>
      </c>
      <c r="B47" s="11">
        <f t="shared" ref="B47:I47" si="10">+B27</f>
        <v>69.349000000000004</v>
      </c>
      <c r="C47" s="11">
        <f t="shared" si="10"/>
        <v>69.825999999999993</v>
      </c>
      <c r="D47" s="11">
        <f t="shared" si="10"/>
        <v>69.669999999999987</v>
      </c>
      <c r="E47" s="11">
        <f t="shared" si="10"/>
        <v>66.483000000000018</v>
      </c>
      <c r="F47" s="11">
        <f t="shared" si="10"/>
        <v>58.999000000000009</v>
      </c>
      <c r="G47" s="11">
        <f t="shared" si="10"/>
        <v>51.979000000000021</v>
      </c>
      <c r="H47" s="11">
        <f t="shared" si="10"/>
        <v>43.990900000000018</v>
      </c>
      <c r="I47" s="11">
        <f t="shared" si="10"/>
        <v>42.107899999999994</v>
      </c>
    </row>
    <row r="48" spans="1:12" x14ac:dyDescent="0.2">
      <c r="A48" s="1" t="s">
        <v>7</v>
      </c>
      <c r="B48" s="11">
        <f t="shared" ref="B48:I48" si="11">+SUM(B37:E37)</f>
        <v>6.735000000000003</v>
      </c>
      <c r="C48" s="11">
        <f t="shared" si="11"/>
        <v>7.8150000000000031</v>
      </c>
      <c r="D48" s="11">
        <f t="shared" si="11"/>
        <v>15.105000000000002</v>
      </c>
      <c r="E48" s="11">
        <f t="shared" si="11"/>
        <v>38.905000000000001</v>
      </c>
      <c r="F48" s="11">
        <f t="shared" si="11"/>
        <v>31.148000000000003</v>
      </c>
      <c r="G48" s="11">
        <f t="shared" si="11"/>
        <v>27.144000000000002</v>
      </c>
      <c r="H48" s="11">
        <f t="shared" si="11"/>
        <v>20.930999999999997</v>
      </c>
      <c r="I48" s="11">
        <f t="shared" si="11"/>
        <v>8.9869999999999965</v>
      </c>
    </row>
    <row r="50" spans="1:12" s="10" customFormat="1" x14ac:dyDescent="0.2">
      <c r="A50" s="10" t="s">
        <v>6</v>
      </c>
      <c r="B50" s="10">
        <f>+SUM(B39:B40)/B47</f>
        <v>4.7706239455507653</v>
      </c>
      <c r="C50" s="10">
        <f>+SUM(C39:C40)/C47</f>
        <v>4.7499355540915991</v>
      </c>
      <c r="D50" s="10">
        <f>+SUM(D39:D40)/D47</f>
        <v>4.5930816707334587</v>
      </c>
      <c r="E50" s="10">
        <f>+SUM(E39:E40)/E47</f>
        <v>4.8132605327677735</v>
      </c>
    </row>
    <row r="51" spans="1:12" s="10" customFormat="1" x14ac:dyDescent="0.2">
      <c r="A51" s="10" t="s">
        <v>5</v>
      </c>
      <c r="B51" s="10">
        <f>+B41/B47</f>
        <v>6.1044571659288529</v>
      </c>
      <c r="C51" s="10">
        <f>+C41/C47</f>
        <v>6.0746570045541777</v>
      </c>
      <c r="D51" s="10">
        <f>+D41/D47</f>
        <v>6.1001865939428743</v>
      </c>
      <c r="E51" s="10">
        <f>+E41/E47</f>
        <v>6.3926116450821997</v>
      </c>
    </row>
    <row r="52" spans="1:12" s="10" customFormat="1" x14ac:dyDescent="0.2">
      <c r="A52" s="10" t="s">
        <v>4</v>
      </c>
      <c r="B52" s="10">
        <f>+(B41-B44)/B47</f>
        <v>5.7304214912976388</v>
      </c>
      <c r="C52" s="10">
        <f>+(C41-C44)/C47</f>
        <v>5.7871566465213533</v>
      </c>
      <c r="D52" s="10">
        <f>+(D41-D44)/D47</f>
        <v>5.9394000287067614</v>
      </c>
      <c r="E52" s="10">
        <f>+(E41-E44)/E47</f>
        <v>6.3474873275875021</v>
      </c>
    </row>
    <row r="53" spans="1:12" s="6" customFormat="1" x14ac:dyDescent="0.2">
      <c r="A53" s="6" t="s">
        <v>3</v>
      </c>
      <c r="B53" s="6">
        <f>+B48/B41</f>
        <v>1.5909273441080184E-2</v>
      </c>
      <c r="C53" s="6">
        <f>+C48/C41</f>
        <v>1.8424260141594515E-2</v>
      </c>
      <c r="D53" s="6">
        <f>+D48/D41</f>
        <v>3.5541176470588243E-2</v>
      </c>
      <c r="E53" s="6">
        <f>+E48/E41</f>
        <v>9.1541176470588237E-2</v>
      </c>
    </row>
    <row r="54" spans="1:12" s="6" customFormat="1" x14ac:dyDescent="0.2">
      <c r="A54" s="8" t="s">
        <v>2</v>
      </c>
      <c r="B54" s="9"/>
      <c r="C54" s="9"/>
      <c r="D54" s="9"/>
      <c r="E54" s="9"/>
      <c r="F54" s="9"/>
      <c r="G54" s="9"/>
      <c r="H54" s="9"/>
      <c r="I54" s="9"/>
      <c r="J54" s="8"/>
      <c r="K54" s="8"/>
      <c r="L54" s="8"/>
    </row>
    <row r="55" spans="1:12" s="6" customFormat="1" x14ac:dyDescent="0.2">
      <c r="A55" s="6" t="s">
        <v>1</v>
      </c>
      <c r="B55" s="7">
        <f t="shared" ref="B55:I55" si="12">IF(B42=0,IF(B54="","","*"&amp;TEXT(B54,"0.0x")),(B41+B42-B44)/B47)</f>
        <v>10.777358000836349</v>
      </c>
      <c r="C55" s="7">
        <f t="shared" si="12"/>
        <v>10.799616188812191</v>
      </c>
      <c r="D55" s="7">
        <f t="shared" si="12"/>
        <v>10.963083106071482</v>
      </c>
      <c r="E55" s="7">
        <f t="shared" si="12"/>
        <v>11.611991035302255</v>
      </c>
      <c r="F55" s="7" t="str">
        <f t="shared" si="12"/>
        <v/>
      </c>
      <c r="G55" s="7" t="str">
        <f t="shared" si="12"/>
        <v/>
      </c>
      <c r="H55" s="7" t="str">
        <f t="shared" si="12"/>
        <v/>
      </c>
      <c r="I55" s="7" t="str">
        <f t="shared" si="12"/>
        <v/>
      </c>
      <c r="J55" s="7" t="str">
        <f>IF(J42=0,IF(J54="","",CONCATENATE("* ",J54,"x")),(J41+J42-J44)/J47)</f>
        <v/>
      </c>
      <c r="K55" s="7" t="str">
        <f>IF(K42=0,IF(K54="","",CONCATENATE("* ",K54,"x")),(K41+K42-K44)/K47)</f>
        <v/>
      </c>
      <c r="L55" s="7" t="str">
        <f>IF(L42=0,IF(L54="","",CONCATENATE("* ",L54,"x")),(L41+L42-L44)/L47)</f>
        <v/>
      </c>
    </row>
    <row r="56" spans="1:12" x14ac:dyDescent="0.2">
      <c r="I56" s="3"/>
    </row>
    <row r="57" spans="1:12" ht="80.25" customHeight="1" x14ac:dyDescent="0.2">
      <c r="A57" s="5" t="s">
        <v>0</v>
      </c>
      <c r="B57" s="4"/>
      <c r="C57" s="4"/>
      <c r="D57" s="4"/>
      <c r="E57" s="4" t="s">
        <v>104</v>
      </c>
      <c r="F57" s="4"/>
      <c r="G57" s="4"/>
      <c r="H57" s="4"/>
      <c r="I57" s="4"/>
      <c r="J57" s="4"/>
      <c r="K57" s="4"/>
      <c r="L57" s="4"/>
    </row>
    <row r="58" spans="1:12" x14ac:dyDescent="0.2">
      <c r="A58" s="2"/>
      <c r="B58" s="3"/>
      <c r="C58" s="3"/>
      <c r="D58" s="3"/>
      <c r="E58" s="3"/>
    </row>
    <row r="59" spans="1:12" x14ac:dyDescent="0.2">
      <c r="A59" s="2"/>
    </row>
  </sheetData>
  <pageMargins left="0.7" right="0.7" top="0.75" bottom="0.75" header="0.3" footer="0.3"/>
  <pageSetup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6447-C274-4D44-8814-F874BE26AD86}">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681</v>
      </c>
    </row>
    <row r="3" spans="1:9" s="35" customFormat="1" x14ac:dyDescent="0.2">
      <c r="A3" s="36" t="s">
        <v>43</v>
      </c>
      <c r="B3" s="35" t="s">
        <v>682</v>
      </c>
    </row>
    <row r="4" spans="1:9" x14ac:dyDescent="0.2">
      <c r="A4" s="34" t="s">
        <v>41</v>
      </c>
      <c r="B4" s="1" t="s">
        <v>40</v>
      </c>
    </row>
    <row r="5" spans="1:9" x14ac:dyDescent="0.2">
      <c r="A5" s="34" t="s">
        <v>39</v>
      </c>
    </row>
    <row r="6" spans="1:9" x14ac:dyDescent="0.2">
      <c r="A6" s="34" t="s">
        <v>38</v>
      </c>
      <c r="B6" s="1">
        <v>2</v>
      </c>
    </row>
    <row r="7" spans="1:9" x14ac:dyDescent="0.2">
      <c r="A7" s="34" t="s">
        <v>37</v>
      </c>
      <c r="B7" s="1" t="s">
        <v>684</v>
      </c>
    </row>
    <row r="8" spans="1:9" x14ac:dyDescent="0.2">
      <c r="A8" s="34" t="s">
        <v>281</v>
      </c>
      <c r="B8" s="1" t="s">
        <v>683</v>
      </c>
    </row>
    <row r="9" spans="1:9" x14ac:dyDescent="0.2">
      <c r="A9" s="22"/>
    </row>
    <row r="10" spans="1:9" x14ac:dyDescent="0.2">
      <c r="A10" s="22" t="s">
        <v>36</v>
      </c>
      <c r="B10" s="33">
        <v>44377</v>
      </c>
      <c r="C10" s="33">
        <f>EOMONTH(B10,-3)</f>
        <v>44286</v>
      </c>
      <c r="D10" s="33">
        <f t="shared" ref="D10:I10" si="0">EOMONTH(C10,-3)</f>
        <v>44196</v>
      </c>
      <c r="E10" s="33">
        <f t="shared" si="0"/>
        <v>44104</v>
      </c>
      <c r="F10" s="33">
        <f t="shared" si="0"/>
        <v>44012</v>
      </c>
      <c r="G10" s="33">
        <f t="shared" si="0"/>
        <v>43921</v>
      </c>
      <c r="H10" s="33">
        <f t="shared" si="0"/>
        <v>43830</v>
      </c>
      <c r="I10" s="33">
        <f t="shared" si="0"/>
        <v>43738</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6337</v>
      </c>
      <c r="C40" s="19"/>
      <c r="D40" s="19"/>
      <c r="E40" s="19"/>
      <c r="F40" s="19"/>
      <c r="G40" s="19"/>
      <c r="H40" s="19"/>
      <c r="I40" s="19"/>
    </row>
    <row r="41" spans="1:9" s="16" customFormat="1" x14ac:dyDescent="0.2">
      <c r="A41" s="18" t="s">
        <v>12</v>
      </c>
      <c r="B41" s="19">
        <f>B39+B40+800</f>
        <v>7137</v>
      </c>
      <c r="C41" s="19"/>
      <c r="D41" s="19"/>
      <c r="E41" s="19"/>
      <c r="F41" s="19"/>
      <c r="G41" s="19"/>
      <c r="H41" s="19"/>
      <c r="I41" s="19"/>
    </row>
    <row r="42" spans="1:9" s="16" customFormat="1" x14ac:dyDescent="0.2">
      <c r="A42" s="18" t="s">
        <v>11</v>
      </c>
      <c r="B42" s="17">
        <v>2300</v>
      </c>
      <c r="C42" s="17"/>
      <c r="D42" s="17"/>
      <c r="E42" s="17"/>
      <c r="F42" s="17"/>
      <c r="G42" s="17"/>
      <c r="H42" s="17"/>
      <c r="I42" s="17"/>
    </row>
    <row r="43" spans="1:9" x14ac:dyDescent="0.2">
      <c r="B43" s="16"/>
      <c r="C43" s="16"/>
      <c r="D43" s="16"/>
    </row>
    <row r="44" spans="1:9" x14ac:dyDescent="0.2">
      <c r="A44" s="15" t="s">
        <v>10</v>
      </c>
      <c r="B44" s="27">
        <v>196</v>
      </c>
      <c r="C44" s="27"/>
      <c r="D44" s="27"/>
      <c r="E44" s="27"/>
      <c r="F44" s="27"/>
      <c r="G44" s="27"/>
      <c r="H44" s="14"/>
      <c r="I44" s="14"/>
    </row>
    <row r="46" spans="1:9" x14ac:dyDescent="0.2">
      <c r="A46" s="1" t="s">
        <v>9</v>
      </c>
      <c r="B46" s="12">
        <v>19259</v>
      </c>
      <c r="C46" s="11"/>
      <c r="D46" s="11"/>
      <c r="E46" s="11"/>
      <c r="F46" s="11"/>
    </row>
    <row r="47" spans="1:9" x14ac:dyDescent="0.2">
      <c r="A47" s="1" t="s">
        <v>8</v>
      </c>
      <c r="B47" s="12">
        <v>1812</v>
      </c>
      <c r="C47" s="11"/>
      <c r="D47" s="11"/>
      <c r="E47" s="11"/>
      <c r="F47" s="11"/>
    </row>
    <row r="48" spans="1:9" x14ac:dyDescent="0.2">
      <c r="A48" s="1" t="s">
        <v>7</v>
      </c>
      <c r="B48" s="11"/>
      <c r="C48" s="11"/>
      <c r="D48" s="11"/>
      <c r="E48" s="11"/>
      <c r="F48" s="11"/>
    </row>
    <row r="50" spans="1:9" s="10" customFormat="1" x14ac:dyDescent="0.2">
      <c r="A50" s="10" t="s">
        <v>6</v>
      </c>
      <c r="B50" s="10">
        <f>+SUM(B39:B40)/B47</f>
        <v>3.4972406181015452</v>
      </c>
    </row>
    <row r="51" spans="1:9" s="10" customFormat="1" x14ac:dyDescent="0.2">
      <c r="A51" s="10" t="s">
        <v>5</v>
      </c>
      <c r="B51" s="10">
        <f>+B41/B47</f>
        <v>3.9387417218543046</v>
      </c>
    </row>
    <row r="52" spans="1:9" s="10" customFormat="1" x14ac:dyDescent="0.2">
      <c r="A52" s="10" t="s">
        <v>4</v>
      </c>
      <c r="B52" s="10">
        <f>+(B41-B44)/B47</f>
        <v>3.8305739514348787</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5.0998896247240619</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738B3-175E-4682-850C-F2E9D5E3C086}">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685</v>
      </c>
    </row>
    <row r="3" spans="1:9" s="35" customFormat="1" x14ac:dyDescent="0.2">
      <c r="A3" s="36" t="s">
        <v>43</v>
      </c>
      <c r="B3" s="35" t="s">
        <v>686</v>
      </c>
    </row>
    <row r="4" spans="1:9" x14ac:dyDescent="0.2">
      <c r="A4" s="34" t="s">
        <v>41</v>
      </c>
      <c r="B4" s="1" t="s">
        <v>40</v>
      </c>
    </row>
    <row r="5" spans="1:9" x14ac:dyDescent="0.2">
      <c r="A5" s="34" t="s">
        <v>39</v>
      </c>
    </row>
    <row r="6" spans="1:9" x14ac:dyDescent="0.2">
      <c r="A6" s="34" t="s">
        <v>38</v>
      </c>
      <c r="B6" s="1">
        <v>3</v>
      </c>
    </row>
    <row r="7" spans="1:9" x14ac:dyDescent="0.2">
      <c r="A7" s="34" t="s">
        <v>37</v>
      </c>
      <c r="B7" s="1" t="s">
        <v>688</v>
      </c>
    </row>
    <row r="8" spans="1:9" x14ac:dyDescent="0.2">
      <c r="A8" s="34" t="s">
        <v>281</v>
      </c>
      <c r="B8" s="1" t="s">
        <v>687</v>
      </c>
    </row>
    <row r="9" spans="1:9" x14ac:dyDescent="0.2">
      <c r="A9" s="22"/>
    </row>
    <row r="10" spans="1:9" x14ac:dyDescent="0.2">
      <c r="A10" s="22" t="s">
        <v>36</v>
      </c>
      <c r="B10" s="33">
        <v>44377</v>
      </c>
      <c r="C10" s="33">
        <f>EOMONTH(B10,-3)</f>
        <v>44286</v>
      </c>
      <c r="D10" s="33">
        <f t="shared" ref="D10:I10" si="0">EOMONTH(C10,-3)</f>
        <v>44196</v>
      </c>
      <c r="E10" s="33">
        <f t="shared" si="0"/>
        <v>44104</v>
      </c>
      <c r="F10" s="33">
        <f t="shared" si="0"/>
        <v>44012</v>
      </c>
      <c r="G10" s="33">
        <f t="shared" si="0"/>
        <v>43921</v>
      </c>
      <c r="H10" s="33">
        <f t="shared" si="0"/>
        <v>43830</v>
      </c>
      <c r="I10" s="33">
        <f t="shared" si="0"/>
        <v>43738</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852</v>
      </c>
      <c r="C40" s="19"/>
      <c r="D40" s="19"/>
      <c r="E40" s="19"/>
      <c r="F40" s="19"/>
      <c r="G40" s="19"/>
      <c r="H40" s="19"/>
      <c r="I40" s="19"/>
    </row>
    <row r="41" spans="1:9" s="16" customFormat="1" x14ac:dyDescent="0.2">
      <c r="A41" s="18" t="s">
        <v>12</v>
      </c>
      <c r="B41" s="19">
        <f>B39+B40</f>
        <v>852</v>
      </c>
      <c r="C41" s="19"/>
      <c r="D41" s="19"/>
      <c r="E41" s="19"/>
      <c r="F41" s="19"/>
      <c r="G41" s="19"/>
      <c r="H41" s="19"/>
      <c r="I41" s="19"/>
    </row>
    <row r="42" spans="1:9" s="16" customFormat="1" x14ac:dyDescent="0.2">
      <c r="A42" s="18" t="s">
        <v>11</v>
      </c>
      <c r="B42" s="17">
        <v>1288</v>
      </c>
      <c r="C42" s="17"/>
      <c r="D42" s="17"/>
      <c r="E42" s="17"/>
      <c r="F42" s="17"/>
      <c r="G42" s="17"/>
      <c r="H42" s="17"/>
      <c r="I42" s="17"/>
    </row>
    <row r="43" spans="1:9" x14ac:dyDescent="0.2">
      <c r="B43" s="16"/>
      <c r="C43" s="16"/>
      <c r="D43" s="16"/>
    </row>
    <row r="44" spans="1:9" x14ac:dyDescent="0.2">
      <c r="A44" s="15" t="s">
        <v>10</v>
      </c>
      <c r="B44" s="27">
        <v>21</v>
      </c>
      <c r="C44" s="27"/>
      <c r="D44" s="27"/>
      <c r="E44" s="27"/>
      <c r="F44" s="27"/>
      <c r="G44" s="27"/>
      <c r="H44" s="14"/>
      <c r="I44" s="14"/>
    </row>
    <row r="46" spans="1:9" x14ac:dyDescent="0.2">
      <c r="A46" s="1" t="s">
        <v>9</v>
      </c>
      <c r="B46" s="12">
        <v>443.4</v>
      </c>
      <c r="C46" s="11"/>
      <c r="D46" s="11"/>
      <c r="E46" s="11"/>
      <c r="F46" s="11"/>
    </row>
    <row r="47" spans="1:9" x14ac:dyDescent="0.2">
      <c r="A47" s="1" t="s">
        <v>8</v>
      </c>
      <c r="B47" s="12">
        <v>163</v>
      </c>
      <c r="C47" s="11"/>
      <c r="D47" s="11"/>
      <c r="E47" s="11"/>
      <c r="F47" s="11"/>
    </row>
    <row r="48" spans="1:9" x14ac:dyDescent="0.2">
      <c r="A48" s="1" t="s">
        <v>7</v>
      </c>
      <c r="B48" s="11"/>
      <c r="C48" s="11"/>
      <c r="D48" s="11"/>
      <c r="E48" s="11"/>
      <c r="F48" s="11"/>
    </row>
    <row r="50" spans="1:9" s="10" customFormat="1" x14ac:dyDescent="0.2">
      <c r="A50" s="10" t="s">
        <v>6</v>
      </c>
      <c r="B50" s="10">
        <f>+SUM(B39:B40)/B47</f>
        <v>5.2269938650306749</v>
      </c>
    </row>
    <row r="51" spans="1:9" s="10" customFormat="1" x14ac:dyDescent="0.2">
      <c r="A51" s="10" t="s">
        <v>5</v>
      </c>
      <c r="B51" s="10">
        <f>+B41/B47</f>
        <v>5.2269938650306749</v>
      </c>
    </row>
    <row r="52" spans="1:9" s="10" customFormat="1" x14ac:dyDescent="0.2">
      <c r="A52" s="10" t="s">
        <v>4</v>
      </c>
      <c r="B52" s="10">
        <f>+(B41-B44)/B47</f>
        <v>5.0981595092024543</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13</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2:I59"/>
  <sheetViews>
    <sheetView showGridLines="0" zoomScaleNormal="100" workbookViewId="0">
      <pane xSplit="1" ySplit="10" topLeftCell="B14" activePane="bottomRight" state="frozen"/>
      <selection activeCell="T45" sqref="T45"/>
      <selection pane="topRight" activeCell="T45" sqref="T45"/>
      <selection pane="bottomLeft" activeCell="T45" sqref="T45"/>
      <selection pane="bottomRight" activeCell="U48" sqref="U48"/>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row>
    <row r="3" spans="1:9" s="35" customFormat="1" x14ac:dyDescent="0.2">
      <c r="A3" s="36" t="s">
        <v>43</v>
      </c>
    </row>
    <row r="4" spans="1:9" x14ac:dyDescent="0.2">
      <c r="A4" s="34" t="s">
        <v>41</v>
      </c>
      <c r="B4" s="1" t="s">
        <v>40</v>
      </c>
    </row>
    <row r="5" spans="1:9" x14ac:dyDescent="0.2">
      <c r="A5" s="34" t="s">
        <v>39</v>
      </c>
    </row>
    <row r="6" spans="1:9" x14ac:dyDescent="0.2">
      <c r="A6" s="34" t="s">
        <v>38</v>
      </c>
    </row>
    <row r="7" spans="1:9" x14ac:dyDescent="0.2">
      <c r="A7" s="34" t="s">
        <v>37</v>
      </c>
    </row>
    <row r="8" spans="1:9" x14ac:dyDescent="0.2">
      <c r="A8" s="34" t="s">
        <v>281</v>
      </c>
      <c r="B8" s="1" t="e">
        <v>#N/A</v>
      </c>
    </row>
    <row r="9" spans="1:9" x14ac:dyDescent="0.2">
      <c r="A9" s="22"/>
    </row>
    <row r="10" spans="1:9" x14ac:dyDescent="0.2">
      <c r="A10" s="22" t="s">
        <v>36</v>
      </c>
      <c r="B10" s="33">
        <v>43100</v>
      </c>
      <c r="C10" s="33">
        <f>EOMONTH(B10,-3)</f>
        <v>43008</v>
      </c>
      <c r="D10" s="33">
        <f t="shared" ref="D10:I10" si="0">EOMONTH(C10,-3)</f>
        <v>42916</v>
      </c>
      <c r="E10" s="33">
        <f t="shared" si="0"/>
        <v>42825</v>
      </c>
      <c r="F10" s="33">
        <f t="shared" si="0"/>
        <v>42735</v>
      </c>
      <c r="G10" s="33">
        <f t="shared" si="0"/>
        <v>42643</v>
      </c>
      <c r="H10" s="33">
        <f t="shared" si="0"/>
        <v>42551</v>
      </c>
      <c r="I10" s="33">
        <f t="shared" si="0"/>
        <v>42460</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v>0</v>
      </c>
      <c r="D39" s="19">
        <v>0</v>
      </c>
      <c r="E39" s="19">
        <v>0</v>
      </c>
      <c r="F39" s="19">
        <v>0</v>
      </c>
      <c r="G39" s="19"/>
      <c r="H39" s="19"/>
      <c r="I39" s="19"/>
    </row>
    <row r="40" spans="1:9" s="16" customFormat="1" x14ac:dyDescent="0.2">
      <c r="A40" s="18" t="s">
        <v>13</v>
      </c>
      <c r="B40" s="19">
        <v>0</v>
      </c>
      <c r="C40" s="19">
        <v>0</v>
      </c>
      <c r="D40" s="19">
        <v>0</v>
      </c>
      <c r="E40" s="19">
        <v>0</v>
      </c>
      <c r="F40" s="19">
        <v>0</v>
      </c>
      <c r="G40" s="19"/>
      <c r="H40" s="19"/>
      <c r="I40" s="19"/>
    </row>
    <row r="41" spans="1:9" s="16" customFormat="1" x14ac:dyDescent="0.2">
      <c r="A41" s="18" t="s">
        <v>12</v>
      </c>
      <c r="B41" s="19">
        <v>0</v>
      </c>
      <c r="C41" s="19">
        <v>0</v>
      </c>
      <c r="D41" s="19">
        <v>0</v>
      </c>
      <c r="E41" s="19">
        <v>0</v>
      </c>
      <c r="F41" s="19">
        <v>0</v>
      </c>
      <c r="G41" s="19"/>
      <c r="H41" s="19"/>
      <c r="I41" s="19"/>
    </row>
    <row r="42" spans="1:9" s="16" customFormat="1" x14ac:dyDescent="0.2">
      <c r="A42" s="18" t="s">
        <v>11</v>
      </c>
      <c r="B42" s="17">
        <v>0</v>
      </c>
      <c r="C42" s="17">
        <v>0</v>
      </c>
      <c r="D42" s="17">
        <v>0</v>
      </c>
      <c r="E42" s="17">
        <v>0</v>
      </c>
      <c r="F42" s="17">
        <v>0</v>
      </c>
      <c r="G42" s="17"/>
      <c r="H42" s="17"/>
      <c r="I42" s="17"/>
    </row>
    <row r="43" spans="1:9" x14ac:dyDescent="0.2">
      <c r="B43" s="16"/>
      <c r="C43" s="16"/>
      <c r="D43" s="16"/>
    </row>
    <row r="44" spans="1:9" x14ac:dyDescent="0.2">
      <c r="A44" s="15" t="s">
        <v>10</v>
      </c>
      <c r="B44" s="27">
        <v>0</v>
      </c>
      <c r="C44" s="27">
        <v>0</v>
      </c>
      <c r="D44" s="27">
        <v>0</v>
      </c>
      <c r="E44" s="27">
        <v>0</v>
      </c>
      <c r="F44" s="27">
        <v>0</v>
      </c>
      <c r="G44" s="27"/>
      <c r="H44" s="14"/>
      <c r="I44" s="14"/>
    </row>
    <row r="46" spans="1:9" x14ac:dyDescent="0.2">
      <c r="A46" s="1" t="s">
        <v>9</v>
      </c>
      <c r="B46" s="11">
        <f>SUM(B12:E12)</f>
        <v>0</v>
      </c>
      <c r="C46" s="11">
        <f t="shared" ref="C46:F46" si="8">SUM(C12:F12)</f>
        <v>0</v>
      </c>
      <c r="D46" s="11">
        <f t="shared" si="8"/>
        <v>0</v>
      </c>
      <c r="E46" s="11">
        <f t="shared" si="8"/>
        <v>0</v>
      </c>
      <c r="F46" s="11">
        <f t="shared" si="8"/>
        <v>0</v>
      </c>
    </row>
    <row r="47" spans="1:9" x14ac:dyDescent="0.2">
      <c r="A47" s="1" t="s">
        <v>8</v>
      </c>
      <c r="B47" s="11">
        <f>+B27</f>
        <v>0</v>
      </c>
      <c r="C47" s="11">
        <f>+C27</f>
        <v>0</v>
      </c>
      <c r="D47" s="11">
        <f>+D27</f>
        <v>0</v>
      </c>
      <c r="E47" s="11">
        <f>+E27</f>
        <v>0</v>
      </c>
      <c r="F47" s="11">
        <f>+F27</f>
        <v>0</v>
      </c>
    </row>
    <row r="48" spans="1:9" x14ac:dyDescent="0.2">
      <c r="A48" s="1" t="s">
        <v>7</v>
      </c>
      <c r="B48" s="11">
        <f>+SUM(B37:E37)</f>
        <v>0</v>
      </c>
      <c r="C48" s="11">
        <f>+SUM(C37:F37)</f>
        <v>0</v>
      </c>
      <c r="D48" s="11">
        <f>+SUM(D37:G37)</f>
        <v>0</v>
      </c>
      <c r="E48" s="11">
        <f>+SUM(E37:H37)</f>
        <v>0</v>
      </c>
      <c r="F48" s="11">
        <f>+SUM(F37:I37)</f>
        <v>0</v>
      </c>
    </row>
    <row r="50" spans="1:9" s="10" customFormat="1" x14ac:dyDescent="0.2">
      <c r="A50" s="10" t="s">
        <v>6</v>
      </c>
      <c r="B50" s="10" t="e">
        <f>+SUM(B39:B40)/B47</f>
        <v>#DIV/0!</v>
      </c>
      <c r="C50" s="10" t="e">
        <f t="shared" ref="C50:F50" si="9">+SUM(C39:C40)/C47</f>
        <v>#DIV/0!</v>
      </c>
      <c r="D50" s="10" t="e">
        <f t="shared" si="9"/>
        <v>#DIV/0!</v>
      </c>
      <c r="E50" s="10" t="e">
        <f t="shared" si="9"/>
        <v>#DIV/0!</v>
      </c>
      <c r="F50" s="10" t="e">
        <f t="shared" si="9"/>
        <v>#DIV/0!</v>
      </c>
    </row>
    <row r="51" spans="1:9" s="10" customFormat="1" x14ac:dyDescent="0.2">
      <c r="A51" s="10" t="s">
        <v>5</v>
      </c>
      <c r="B51" s="10" t="e">
        <f>+B41/B47</f>
        <v>#DIV/0!</v>
      </c>
      <c r="C51" s="10" t="e">
        <f t="shared" ref="C51:F51" si="10">+C41/C47</f>
        <v>#DIV/0!</v>
      </c>
      <c r="D51" s="10" t="e">
        <f t="shared" si="10"/>
        <v>#DIV/0!</v>
      </c>
      <c r="E51" s="10" t="e">
        <f t="shared" si="10"/>
        <v>#DIV/0!</v>
      </c>
      <c r="F51" s="10" t="e">
        <f t="shared" si="10"/>
        <v>#DIV/0!</v>
      </c>
    </row>
    <row r="52" spans="1:9" s="10" customFormat="1" x14ac:dyDescent="0.2">
      <c r="A52" s="10" t="s">
        <v>4</v>
      </c>
      <c r="B52" s="10" t="e">
        <f>+(B41-B44)/B47</f>
        <v>#DIV/0!</v>
      </c>
      <c r="C52" s="10" t="e">
        <f t="shared" ref="C52:F52" si="11">+(C41-C44)/C47</f>
        <v>#DIV/0!</v>
      </c>
      <c r="D52" s="10" t="e">
        <f t="shared" si="11"/>
        <v>#DIV/0!</v>
      </c>
      <c r="E52" s="10" t="e">
        <f t="shared" si="11"/>
        <v>#DIV/0!</v>
      </c>
      <c r="F52" s="10" t="e">
        <f t="shared" si="11"/>
        <v>#DIV/0!</v>
      </c>
    </row>
    <row r="53" spans="1:9" s="6" customFormat="1" x14ac:dyDescent="0.2">
      <c r="A53" s="6" t="s">
        <v>3</v>
      </c>
      <c r="B53" s="6" t="e">
        <f>+B48/B41</f>
        <v>#DIV/0!</v>
      </c>
      <c r="C53" s="6" t="e">
        <f>+C48/C41</f>
        <v>#DIV/0!</v>
      </c>
      <c r="D53" s="6" t="e">
        <f>+D48/D41</f>
        <v>#DIV/0!</v>
      </c>
      <c r="E53" s="6" t="e">
        <f>+E48/E41</f>
        <v>#DIV/0!</v>
      </c>
      <c r="F53" s="6" t="e">
        <f>+F48/F41</f>
        <v>#DIV/0!</v>
      </c>
    </row>
    <row r="54" spans="1:9" s="6" customFormat="1" x14ac:dyDescent="0.2">
      <c r="A54" s="8" t="s">
        <v>2</v>
      </c>
      <c r="B54" s="9"/>
      <c r="C54" s="9"/>
      <c r="D54" s="9"/>
      <c r="E54" s="9"/>
      <c r="F54" s="9"/>
      <c r="G54" s="8"/>
      <c r="H54" s="8"/>
      <c r="I54" s="8"/>
    </row>
    <row r="55" spans="1:9" s="6" customFormat="1" x14ac:dyDescent="0.2">
      <c r="A55" s="6" t="s">
        <v>1</v>
      </c>
      <c r="B55" s="7" t="str">
        <f>IF(B42=0,IF(B54="","","*"&amp;TEXT(B54,"0.0x")),(B41+B42-B44)/B47)</f>
        <v/>
      </c>
      <c r="C55" s="7" t="str">
        <f>IF(C42=0,IF(C54="","","*"&amp;TEXT(C54,"0.0x")),(C41+C42-C44)/C47)</f>
        <v/>
      </c>
      <c r="D55" s="7" t="str">
        <f>IF(D42=0,IF(D54="","","*"&amp;TEXT(D54,"0.0x")),(D41+D42-D44)/D47)</f>
        <v/>
      </c>
      <c r="E55" s="7" t="str">
        <f>IF(E42=0,IF(E54="","","*"&amp;TEXT(E54,"0.0x")),(E41+E42-E44)/E47)</f>
        <v/>
      </c>
      <c r="F55" s="7" t="str">
        <f>IF(F42=0,IF(F54="","","*"&amp;TEXT(F54,"0.0x")),(F41+F42-F44)/F47)</f>
        <v/>
      </c>
      <c r="G55" s="7" t="str">
        <f t="shared" ref="G55:I55" si="12">IF(G42=0,IF(G54="","",CONCATENATE("* ",G54,"x")),(G41+G42-G44)/G47)</f>
        <v/>
      </c>
      <c r="H55" s="7" t="str">
        <f t="shared" si="12"/>
        <v/>
      </c>
      <c r="I55" s="7" t="str">
        <f t="shared" si="12"/>
        <v/>
      </c>
    </row>
    <row r="56" spans="1:9" x14ac:dyDescent="0.2">
      <c r="F56" s="3"/>
    </row>
    <row r="57" spans="1:9" ht="80.25" customHeight="1" x14ac:dyDescent="0.2">
      <c r="A57" s="5" t="s">
        <v>0</v>
      </c>
      <c r="B57" s="4"/>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Q59"/>
  <sheetViews>
    <sheetView showGridLines="0" zoomScaleNormal="100" workbookViewId="0">
      <pane xSplit="1" ySplit="10" topLeftCell="B11" activePane="bottomRight" state="frozen"/>
      <selection activeCell="Q43" sqref="Q43"/>
      <selection pane="topRight" activeCell="Q43" sqref="Q43"/>
      <selection pane="bottomLeft" activeCell="Q43" sqref="Q43"/>
      <selection pane="bottomRight" activeCell="Q43" sqref="Q43"/>
    </sheetView>
  </sheetViews>
  <sheetFormatPr defaultRowHeight="12.75" x14ac:dyDescent="0.2"/>
  <cols>
    <col min="1" max="1" width="22.7109375" style="1" customWidth="1"/>
    <col min="2" max="17" width="10.7109375" style="1" customWidth="1"/>
    <col min="18" max="16384" width="9.140625" style="1"/>
  </cols>
  <sheetData>
    <row r="2" spans="1:17" x14ac:dyDescent="0.2">
      <c r="A2" s="34" t="s">
        <v>45</v>
      </c>
      <c r="B2" s="1" t="s">
        <v>97</v>
      </c>
    </row>
    <row r="3" spans="1:17" s="35" customFormat="1" x14ac:dyDescent="0.2">
      <c r="A3" s="36" t="s">
        <v>43</v>
      </c>
      <c r="B3" s="35" t="s">
        <v>131</v>
      </c>
    </row>
    <row r="4" spans="1:17" x14ac:dyDescent="0.2">
      <c r="A4" s="34" t="s">
        <v>41</v>
      </c>
      <c r="B4" s="1" t="s">
        <v>40</v>
      </c>
    </row>
    <row r="5" spans="1:17" x14ac:dyDescent="0.2">
      <c r="A5" s="34" t="s">
        <v>39</v>
      </c>
    </row>
    <row r="6" spans="1:17" x14ac:dyDescent="0.2">
      <c r="A6" s="34" t="s">
        <v>38</v>
      </c>
      <c r="B6" s="1">
        <v>3</v>
      </c>
    </row>
    <row r="7" spans="1:17" x14ac:dyDescent="0.2">
      <c r="A7" s="34" t="s">
        <v>37</v>
      </c>
      <c r="B7" s="1" t="s">
        <v>374</v>
      </c>
    </row>
    <row r="8" spans="1:17" x14ac:dyDescent="0.2">
      <c r="A8" s="34" t="s">
        <v>281</v>
      </c>
      <c r="B8" s="1" t="s">
        <v>317</v>
      </c>
    </row>
    <row r="9" spans="1:17" x14ac:dyDescent="0.2">
      <c r="A9" s="22"/>
    </row>
    <row r="10" spans="1:17" x14ac:dyDescent="0.2">
      <c r="A10" s="22" t="s">
        <v>36</v>
      </c>
      <c r="B10" s="33">
        <v>43738</v>
      </c>
      <c r="C10" s="33">
        <v>43646</v>
      </c>
      <c r="D10" s="33">
        <v>43554</v>
      </c>
      <c r="E10" s="33">
        <v>43463</v>
      </c>
      <c r="F10" s="33">
        <v>43372</v>
      </c>
      <c r="G10" s="33">
        <v>43281</v>
      </c>
      <c r="H10" s="33"/>
      <c r="I10" s="33"/>
      <c r="J10" s="33">
        <v>43036</v>
      </c>
      <c r="K10" s="33">
        <v>42945</v>
      </c>
      <c r="L10" s="33">
        <v>42854</v>
      </c>
      <c r="M10" s="33">
        <v>42763</v>
      </c>
      <c r="N10" s="33">
        <v>42672</v>
      </c>
      <c r="O10" s="33">
        <v>42581</v>
      </c>
      <c r="P10" s="33">
        <f>EOMONTH(O10,-3)</f>
        <v>42490</v>
      </c>
      <c r="Q10" s="33">
        <v>42392</v>
      </c>
    </row>
    <row r="12" spans="1:17" x14ac:dyDescent="0.2">
      <c r="A12" s="15" t="s">
        <v>35</v>
      </c>
      <c r="B12" s="19">
        <v>298.67700000000002</v>
      </c>
      <c r="C12" s="19">
        <v>292.2</v>
      </c>
      <c r="D12" s="19"/>
      <c r="E12" s="19">
        <v>300.95299999999997</v>
      </c>
      <c r="F12" s="19">
        <v>291</v>
      </c>
      <c r="G12" s="19">
        <v>286.60000000000002</v>
      </c>
      <c r="H12" s="19"/>
      <c r="I12" s="19"/>
      <c r="J12" s="19">
        <v>231.15716</v>
      </c>
      <c r="K12" s="19">
        <v>184.132137</v>
      </c>
      <c r="L12" s="19">
        <v>182.82407950000004</v>
      </c>
      <c r="M12" s="19">
        <v>188.01120049999997</v>
      </c>
      <c r="N12" s="19">
        <v>193.8286415</v>
      </c>
      <c r="O12" s="19">
        <v>178.08646249999998</v>
      </c>
      <c r="P12" s="19">
        <v>194.48696300000009</v>
      </c>
      <c r="Q12" s="19">
        <v>190.11501100000001</v>
      </c>
    </row>
    <row r="13" spans="1:17" s="28" customFormat="1" x14ac:dyDescent="0.2">
      <c r="A13" s="28" t="s">
        <v>34</v>
      </c>
      <c r="B13" s="28">
        <f>+B12/F12-1</f>
        <v>2.6381443298969076E-2</v>
      </c>
      <c r="C13" s="28">
        <f>+C12/G12-1</f>
        <v>1.9539427773900719E-2</v>
      </c>
      <c r="J13" s="28">
        <f>+J12/N12-1</f>
        <v>0.19258515259211584</v>
      </c>
      <c r="K13" s="28">
        <f>+K12/O12-1</f>
        <v>3.3947973445763946E-2</v>
      </c>
      <c r="L13" s="28">
        <f>+L12/P12-1</f>
        <v>-5.9967430824656609E-2</v>
      </c>
      <c r="M13" s="28">
        <f>+M12/Q12-1</f>
        <v>-1.1065988366379065E-2</v>
      </c>
    </row>
    <row r="14" spans="1:17" s="23" customFormat="1" x14ac:dyDescent="0.2">
      <c r="A14" s="31" t="s">
        <v>33</v>
      </c>
      <c r="B14" s="32" t="s">
        <v>32</v>
      </c>
      <c r="C14" s="32" t="s">
        <v>32</v>
      </c>
      <c r="D14" s="32"/>
      <c r="E14" s="32" t="s">
        <v>32</v>
      </c>
      <c r="F14" s="32" t="s">
        <v>32</v>
      </c>
      <c r="G14" s="32" t="s">
        <v>32</v>
      </c>
      <c r="H14" s="32"/>
      <c r="I14" s="32"/>
      <c r="J14" s="32" t="s">
        <v>32</v>
      </c>
      <c r="K14" s="32" t="s">
        <v>32</v>
      </c>
      <c r="L14" s="32" t="s">
        <v>32</v>
      </c>
      <c r="M14" s="32" t="s">
        <v>32</v>
      </c>
      <c r="N14" s="31"/>
      <c r="O14" s="31"/>
      <c r="P14" s="31"/>
      <c r="Q14" s="31"/>
    </row>
    <row r="16" spans="1:17" s="22" customFormat="1" x14ac:dyDescent="0.2">
      <c r="A16" s="30" t="s">
        <v>31</v>
      </c>
      <c r="B16" s="29">
        <v>47.098999999999997</v>
      </c>
      <c r="C16" s="29">
        <v>45.247</v>
      </c>
      <c r="D16" s="29"/>
      <c r="E16" s="29">
        <v>47.603000000000002</v>
      </c>
      <c r="F16" s="29">
        <v>44.8</v>
      </c>
      <c r="G16" s="29">
        <v>46.6</v>
      </c>
      <c r="H16" s="29"/>
      <c r="I16" s="29"/>
      <c r="J16" s="29">
        <v>50.366859480000024</v>
      </c>
      <c r="K16" s="29">
        <v>34.986782999999988</v>
      </c>
      <c r="L16" s="29">
        <v>45.820399500000022</v>
      </c>
      <c r="M16" s="29">
        <v>39.7269085</v>
      </c>
      <c r="N16" s="29">
        <v>40.838046499999997</v>
      </c>
      <c r="O16" s="29">
        <v>35.719771500000007</v>
      </c>
      <c r="P16" s="29">
        <v>45.039203000000114</v>
      </c>
      <c r="Q16" s="29">
        <v>37.437961999999985</v>
      </c>
    </row>
    <row r="17" spans="1:17" s="28" customFormat="1" x14ac:dyDescent="0.2">
      <c r="A17" s="28" t="s">
        <v>30</v>
      </c>
      <c r="B17" s="28">
        <f>B16/B12</f>
        <v>0.15769208877817842</v>
      </c>
      <c r="C17" s="28">
        <f>C16/C12</f>
        <v>0.15484941820670775</v>
      </c>
      <c r="E17" s="28">
        <f>E16/E12</f>
        <v>0.158174199958133</v>
      </c>
      <c r="F17" s="28">
        <f>F16/F12</f>
        <v>0.15395189003436424</v>
      </c>
      <c r="G17" s="28">
        <f>G16/G12</f>
        <v>0.16259595254710396</v>
      </c>
      <c r="J17" s="28">
        <f t="shared" ref="J17:Q17" si="0">+J16/J12</f>
        <v>0.21789011199133967</v>
      </c>
      <c r="K17" s="28">
        <f t="shared" si="0"/>
        <v>0.19000910742702121</v>
      </c>
      <c r="L17" s="28">
        <f t="shared" si="0"/>
        <v>0.25062562669705668</v>
      </c>
      <c r="M17" s="28">
        <f t="shared" si="0"/>
        <v>0.21130075439308738</v>
      </c>
      <c r="N17" s="28">
        <f t="shared" si="0"/>
        <v>0.21069149628229736</v>
      </c>
      <c r="O17" s="28">
        <f t="shared" si="0"/>
        <v>0.2005754451998282</v>
      </c>
      <c r="P17" s="28">
        <f t="shared" si="0"/>
        <v>0.23157954808518499</v>
      </c>
      <c r="Q17" s="28">
        <f t="shared" si="0"/>
        <v>0.19692270380480362</v>
      </c>
    </row>
    <row r="18" spans="1:17" s="23" customFormat="1" x14ac:dyDescent="0.2"/>
    <row r="19" spans="1:17" s="23" customFormat="1" x14ac:dyDescent="0.2">
      <c r="A19" s="15" t="s">
        <v>29</v>
      </c>
      <c r="B19" s="19">
        <v>0</v>
      </c>
      <c r="C19" s="19">
        <v>0</v>
      </c>
      <c r="D19" s="19"/>
      <c r="E19" s="19">
        <v>0</v>
      </c>
      <c r="F19" s="19">
        <v>0</v>
      </c>
      <c r="G19" s="19">
        <v>0</v>
      </c>
      <c r="H19" s="19"/>
      <c r="I19" s="19"/>
      <c r="J19" s="19">
        <v>0</v>
      </c>
      <c r="K19" s="19">
        <v>0</v>
      </c>
      <c r="L19" s="19">
        <v>0</v>
      </c>
      <c r="M19" s="19">
        <v>0</v>
      </c>
      <c r="N19" s="19">
        <v>0</v>
      </c>
      <c r="O19" s="19">
        <v>0</v>
      </c>
      <c r="P19" s="19">
        <v>0</v>
      </c>
      <c r="Q19" s="19">
        <v>0</v>
      </c>
    </row>
    <row r="20" spans="1:17" s="23" customFormat="1" x14ac:dyDescent="0.2">
      <c r="A20" s="15" t="s">
        <v>28</v>
      </c>
      <c r="B20" s="19">
        <v>0</v>
      </c>
      <c r="C20" s="19">
        <v>0</v>
      </c>
      <c r="D20" s="19"/>
      <c r="E20" s="19">
        <v>0</v>
      </c>
      <c r="F20" s="19">
        <v>0</v>
      </c>
      <c r="G20" s="19">
        <v>0</v>
      </c>
      <c r="H20" s="19"/>
      <c r="I20" s="19"/>
      <c r="J20" s="19">
        <v>0</v>
      </c>
      <c r="K20" s="19">
        <v>0</v>
      </c>
      <c r="L20" s="19">
        <v>0</v>
      </c>
      <c r="M20" s="19">
        <v>0</v>
      </c>
      <c r="N20" s="19">
        <v>0</v>
      </c>
      <c r="O20" s="19">
        <v>0</v>
      </c>
      <c r="P20" s="19">
        <v>0</v>
      </c>
      <c r="Q20" s="19">
        <v>0</v>
      </c>
    </row>
    <row r="21" spans="1:17" s="23" customFormat="1" x14ac:dyDescent="0.2">
      <c r="A21" s="15" t="s">
        <v>18</v>
      </c>
      <c r="B21" s="19">
        <v>0</v>
      </c>
      <c r="C21" s="19">
        <v>0</v>
      </c>
      <c r="D21" s="19"/>
      <c r="E21" s="19">
        <v>0</v>
      </c>
      <c r="F21" s="19">
        <v>0</v>
      </c>
      <c r="G21" s="19">
        <v>0</v>
      </c>
      <c r="H21" s="19"/>
      <c r="I21" s="19"/>
      <c r="J21" s="19">
        <f t="shared" ref="J21:Q21" si="1">J22-J16-J19-J20</f>
        <v>-16.979554</v>
      </c>
      <c r="K21" s="19">
        <f t="shared" si="1"/>
        <v>-12.999509</v>
      </c>
      <c r="L21" s="19">
        <f t="shared" si="1"/>
        <v>-13.643962500000001</v>
      </c>
      <c r="M21" s="19">
        <f t="shared" si="1"/>
        <v>-13.643962500000015</v>
      </c>
      <c r="N21" s="19">
        <f t="shared" si="1"/>
        <v>-13.643962500000001</v>
      </c>
      <c r="O21" s="19">
        <f t="shared" si="1"/>
        <v>-13.643962500000001</v>
      </c>
      <c r="P21" s="19">
        <f t="shared" si="1"/>
        <v>-12.939360999999998</v>
      </c>
      <c r="Q21" s="19">
        <f t="shared" si="1"/>
        <v>-12.939360999999998</v>
      </c>
    </row>
    <row r="22" spans="1:17" s="22" customFormat="1" x14ac:dyDescent="0.2">
      <c r="A22" s="22" t="s">
        <v>23</v>
      </c>
      <c r="B22" s="20">
        <f>B16+B19+B20+B21</f>
        <v>47.098999999999997</v>
      </c>
      <c r="C22" s="20">
        <f>C16+C19+C20+C21</f>
        <v>45.247</v>
      </c>
      <c r="D22" s="20"/>
      <c r="E22" s="20">
        <f>E16+E19+E20+E21</f>
        <v>47.603000000000002</v>
      </c>
      <c r="F22" s="20">
        <f>F16+F19+F20+F21</f>
        <v>44.8</v>
      </c>
      <c r="G22" s="20">
        <f>G16+G19+G20+G21</f>
        <v>46.6</v>
      </c>
      <c r="H22" s="20"/>
      <c r="I22" s="20"/>
      <c r="J22" s="20">
        <v>33.387305480000023</v>
      </c>
      <c r="K22" s="20">
        <v>21.987273999999989</v>
      </c>
      <c r="L22" s="20">
        <v>32.176437000000021</v>
      </c>
      <c r="M22" s="20">
        <v>26.082945999999986</v>
      </c>
      <c r="N22" s="20">
        <v>27.194083999999997</v>
      </c>
      <c r="O22" s="20">
        <v>22.075809000000007</v>
      </c>
      <c r="P22" s="20">
        <v>32.099842000000116</v>
      </c>
      <c r="Q22" s="20">
        <v>24.498600999999987</v>
      </c>
    </row>
    <row r="23" spans="1:17" s="22" customFormat="1" x14ac:dyDescent="0.2">
      <c r="B23" s="20"/>
      <c r="C23" s="20"/>
      <c r="D23" s="20"/>
      <c r="E23" s="20"/>
      <c r="F23" s="20"/>
      <c r="G23" s="20"/>
      <c r="H23" s="20"/>
      <c r="I23" s="20"/>
      <c r="J23" s="20"/>
      <c r="K23" s="20"/>
      <c r="L23" s="20"/>
      <c r="M23" s="20"/>
      <c r="N23" s="20"/>
      <c r="O23" s="20"/>
      <c r="P23" s="20"/>
      <c r="Q23" s="20"/>
    </row>
    <row r="24" spans="1:17" s="22" customFormat="1" x14ac:dyDescent="0.2">
      <c r="A24" s="22" t="s">
        <v>27</v>
      </c>
      <c r="B24" s="61"/>
      <c r="C24" s="61"/>
      <c r="D24" s="61"/>
      <c r="E24" s="61">
        <v>152.59899999999999</v>
      </c>
      <c r="F24" s="61">
        <f>F22+G22+10.194+0.322+0.253+44.785+28.488</f>
        <v>175.44200000000001</v>
      </c>
      <c r="G24" s="61">
        <f>G22+32.184+44.785+28.488+0.563</f>
        <v>152.61999999999998</v>
      </c>
      <c r="H24" s="20"/>
      <c r="I24" s="20"/>
      <c r="J24" s="20">
        <f>SUM(J22:M22)</f>
        <v>113.63396248000001</v>
      </c>
      <c r="K24" s="20">
        <f>SUM(K22:N22)</f>
        <v>107.440741</v>
      </c>
      <c r="L24" s="20">
        <f>SUM(L22:O22)</f>
        <v>107.52927600000001</v>
      </c>
      <c r="M24" s="20">
        <f>SUM(M22:P22)</f>
        <v>107.4526810000001</v>
      </c>
      <c r="N24" s="20">
        <f>SUM(N22:Q22)</f>
        <v>105.86833600000011</v>
      </c>
      <c r="O24" s="20"/>
      <c r="P24" s="20"/>
      <c r="Q24" s="20"/>
    </row>
    <row r="25" spans="1:17" s="23" customFormat="1" x14ac:dyDescent="0.2">
      <c r="A25" s="15" t="s">
        <v>26</v>
      </c>
      <c r="B25" s="27"/>
      <c r="C25" s="27"/>
      <c r="D25" s="27"/>
      <c r="E25" s="27">
        <v>0</v>
      </c>
      <c r="F25" s="27">
        <v>0</v>
      </c>
      <c r="G25" s="27">
        <v>0</v>
      </c>
      <c r="H25" s="27"/>
      <c r="I25" s="27"/>
      <c r="J25" s="27">
        <v>0</v>
      </c>
      <c r="K25" s="27">
        <v>0</v>
      </c>
      <c r="L25" s="27">
        <v>0</v>
      </c>
      <c r="M25" s="27">
        <v>0</v>
      </c>
      <c r="N25" s="27">
        <v>0</v>
      </c>
      <c r="O25" s="27"/>
      <c r="P25" s="27"/>
      <c r="Q25" s="27"/>
    </row>
    <row r="26" spans="1:17" s="23" customFormat="1" x14ac:dyDescent="0.2">
      <c r="A26" s="15" t="s">
        <v>25</v>
      </c>
      <c r="B26" s="21"/>
      <c r="C26" s="21"/>
      <c r="D26" s="21"/>
      <c r="E26" s="21">
        <f>189.8-E25-E24</f>
        <v>37.201000000000022</v>
      </c>
      <c r="F26" s="21">
        <f>172-F25-F24</f>
        <v>-3.4420000000000073</v>
      </c>
      <c r="G26" s="21">
        <v>0</v>
      </c>
      <c r="H26" s="21"/>
      <c r="I26" s="21"/>
      <c r="J26" s="21">
        <v>0</v>
      </c>
      <c r="K26" s="21">
        <v>0</v>
      </c>
      <c r="L26" s="21">
        <v>0</v>
      </c>
      <c r="M26" s="21">
        <v>0</v>
      </c>
      <c r="N26" s="21">
        <v>0</v>
      </c>
      <c r="O26" s="26"/>
      <c r="P26" s="26"/>
      <c r="Q26" s="26"/>
    </row>
    <row r="27" spans="1:17" s="24" customFormat="1" x14ac:dyDescent="0.2">
      <c r="A27" s="22" t="s">
        <v>24</v>
      </c>
      <c r="B27" s="61">
        <v>192.9</v>
      </c>
      <c r="C27" s="61">
        <v>190.1</v>
      </c>
      <c r="D27" s="61">
        <v>192</v>
      </c>
      <c r="E27" s="20">
        <f>E24+E25+E26</f>
        <v>189.8</v>
      </c>
      <c r="F27" s="20">
        <f>F24+F25+F26</f>
        <v>172</v>
      </c>
      <c r="G27" s="20">
        <f>G24+G25+G26</f>
        <v>152.61999999999998</v>
      </c>
      <c r="H27" s="20"/>
      <c r="I27" s="20"/>
      <c r="J27" s="20">
        <f>SUM(J24:J26)</f>
        <v>113.63396248000001</v>
      </c>
      <c r="K27" s="20">
        <f>SUM(K24:K26)</f>
        <v>107.440741</v>
      </c>
      <c r="L27" s="20">
        <f>SUM(L24:L26)</f>
        <v>107.52927600000001</v>
      </c>
      <c r="M27" s="20">
        <f>SUM(M24:M26)</f>
        <v>107.4526810000001</v>
      </c>
      <c r="N27" s="20">
        <f>SUM(N24:N26)</f>
        <v>105.86833600000011</v>
      </c>
      <c r="O27" s="25"/>
      <c r="P27" s="25"/>
      <c r="Q27" s="25"/>
    </row>
    <row r="28" spans="1:17" s="23" customFormat="1" x14ac:dyDescent="0.2"/>
    <row r="29" spans="1:17" s="22" customFormat="1" x14ac:dyDescent="0.2">
      <c r="A29" s="22" t="s">
        <v>23</v>
      </c>
      <c r="B29" s="20">
        <f>B22</f>
        <v>47.098999999999997</v>
      </c>
      <c r="C29" s="20">
        <f>C22</f>
        <v>45.247</v>
      </c>
      <c r="D29" s="20"/>
      <c r="E29" s="20">
        <f>E22</f>
        <v>47.603000000000002</v>
      </c>
      <c r="F29" s="20">
        <f>F22</f>
        <v>44.8</v>
      </c>
      <c r="G29" s="20">
        <f>G22</f>
        <v>46.6</v>
      </c>
      <c r="H29" s="20"/>
      <c r="I29" s="20"/>
      <c r="J29" s="20">
        <f t="shared" ref="J29:Q29" si="2">J22</f>
        <v>33.387305480000023</v>
      </c>
      <c r="K29" s="20">
        <f t="shared" si="2"/>
        <v>21.987273999999989</v>
      </c>
      <c r="L29" s="20">
        <f t="shared" si="2"/>
        <v>32.176437000000021</v>
      </c>
      <c r="M29" s="20">
        <f t="shared" si="2"/>
        <v>26.082945999999986</v>
      </c>
      <c r="N29" s="20">
        <f t="shared" si="2"/>
        <v>27.194083999999997</v>
      </c>
      <c r="O29" s="20">
        <f t="shared" si="2"/>
        <v>22.075809000000007</v>
      </c>
      <c r="P29" s="20">
        <f t="shared" si="2"/>
        <v>32.099842000000116</v>
      </c>
      <c r="Q29" s="20">
        <f t="shared" si="2"/>
        <v>24.498600999999987</v>
      </c>
    </row>
    <row r="30" spans="1:17" s="11" customFormat="1" x14ac:dyDescent="0.2">
      <c r="A30" s="19" t="s">
        <v>22</v>
      </c>
      <c r="B30" s="19">
        <v>-16.385999999999999</v>
      </c>
      <c r="C30" s="19">
        <v>-16.626000000000001</v>
      </c>
      <c r="D30" s="19"/>
      <c r="E30" s="19">
        <v>-14.381</v>
      </c>
      <c r="F30" s="19">
        <v>-12.74</v>
      </c>
      <c r="G30" s="19">
        <v>-11.362</v>
      </c>
      <c r="H30" s="19"/>
      <c r="I30" s="19"/>
      <c r="J30" s="19">
        <v>-1.6772659999999999</v>
      </c>
      <c r="K30" s="19">
        <v>-1.6772659999999999</v>
      </c>
      <c r="L30" s="19">
        <v>1.7625699999999997</v>
      </c>
      <c r="M30" s="19">
        <v>-1.6772659999999999</v>
      </c>
      <c r="N30" s="19">
        <v>-1.6772659999999999</v>
      </c>
      <c r="O30" s="19">
        <v>-1.6772659999999999</v>
      </c>
      <c r="P30" s="19">
        <v>0.95093399999999972</v>
      </c>
      <c r="Q30" s="19">
        <v>-1.6772659999999999</v>
      </c>
    </row>
    <row r="31" spans="1:17" s="11" customFormat="1" x14ac:dyDescent="0.2">
      <c r="A31" s="19" t="s">
        <v>21</v>
      </c>
      <c r="B31" s="19">
        <v>-1.7849999999999999</v>
      </c>
      <c r="C31" s="19">
        <v>0.90600000000000003</v>
      </c>
      <c r="D31" s="19"/>
      <c r="E31" s="19">
        <v>-2.81</v>
      </c>
      <c r="F31" s="19">
        <v>-3.7559999999999998</v>
      </c>
      <c r="G31" s="19">
        <v>5.7629999999999999</v>
      </c>
      <c r="H31" s="19"/>
      <c r="I31" s="19"/>
      <c r="J31" s="19">
        <v>-5.2325090000000003</v>
      </c>
      <c r="K31" s="19">
        <v>-5.2325090000000003</v>
      </c>
      <c r="L31" s="19">
        <v>-1.8913869999999982</v>
      </c>
      <c r="M31" s="19">
        <v>-5.2325090000000003</v>
      </c>
      <c r="N31" s="19">
        <v>-5.2325090000000003</v>
      </c>
      <c r="O31" s="19">
        <v>-5.2325090000000003</v>
      </c>
      <c r="P31" s="19">
        <v>-8.9913089999999976</v>
      </c>
      <c r="Q31" s="19">
        <v>-5.2325090000000003</v>
      </c>
    </row>
    <row r="32" spans="1:17" s="11" customFormat="1" x14ac:dyDescent="0.2">
      <c r="A32" s="19" t="s">
        <v>20</v>
      </c>
      <c r="B32" s="19">
        <v>-4.1459999999999999</v>
      </c>
      <c r="C32" s="19">
        <v>-21.731999999999999</v>
      </c>
      <c r="D32" s="19"/>
      <c r="E32" s="19">
        <v>17.538</v>
      </c>
      <c r="F32" s="19">
        <v>-28.42</v>
      </c>
      <c r="G32" s="19">
        <v>29.210999999999999</v>
      </c>
      <c r="H32" s="19"/>
      <c r="I32" s="19"/>
      <c r="J32" s="19">
        <v>-8.0394420000000011</v>
      </c>
      <c r="K32" s="19">
        <v>-21.745726999999999</v>
      </c>
      <c r="L32" s="19">
        <v>5.1481539999999999</v>
      </c>
      <c r="M32" s="19">
        <v>13.070826000000002</v>
      </c>
      <c r="N32" s="19">
        <v>4.3732449999999989</v>
      </c>
      <c r="O32" s="19">
        <v>-14.833786999999999</v>
      </c>
      <c r="P32" s="19">
        <v>3.4237889999999993</v>
      </c>
      <c r="Q32" s="19">
        <v>11.413332</v>
      </c>
    </row>
    <row r="33" spans="1:17" s="11" customFormat="1" x14ac:dyDescent="0.2">
      <c r="A33" s="19" t="s">
        <v>19</v>
      </c>
      <c r="B33" s="19">
        <v>0</v>
      </c>
      <c r="C33" s="19">
        <v>0</v>
      </c>
      <c r="D33" s="19"/>
      <c r="E33" s="19">
        <v>0</v>
      </c>
      <c r="F33" s="19">
        <v>0</v>
      </c>
      <c r="G33" s="19">
        <v>0</v>
      </c>
      <c r="H33" s="19"/>
      <c r="I33" s="19"/>
      <c r="J33" s="19">
        <v>0</v>
      </c>
      <c r="K33" s="19">
        <v>0</v>
      </c>
      <c r="L33" s="19">
        <v>0</v>
      </c>
      <c r="M33" s="19">
        <v>0</v>
      </c>
      <c r="N33" s="19">
        <v>0</v>
      </c>
      <c r="O33" s="19">
        <v>0</v>
      </c>
      <c r="P33" s="19">
        <v>0</v>
      </c>
      <c r="Q33" s="19">
        <v>0</v>
      </c>
    </row>
    <row r="34" spans="1:17" s="11" customFormat="1" x14ac:dyDescent="0.2">
      <c r="A34" s="19" t="s">
        <v>18</v>
      </c>
      <c r="B34" s="21">
        <v>0</v>
      </c>
      <c r="C34" s="21">
        <v>0</v>
      </c>
      <c r="D34" s="21"/>
      <c r="E34" s="21">
        <v>0</v>
      </c>
      <c r="F34" s="21">
        <v>0</v>
      </c>
      <c r="G34" s="21">
        <v>0</v>
      </c>
      <c r="H34" s="21"/>
      <c r="I34" s="21"/>
      <c r="J34" s="21">
        <v>0</v>
      </c>
      <c r="K34" s="21">
        <v>0</v>
      </c>
      <c r="L34" s="21">
        <v>0</v>
      </c>
      <c r="M34" s="21">
        <v>0</v>
      </c>
      <c r="N34" s="21">
        <v>0</v>
      </c>
      <c r="O34" s="21">
        <v>0</v>
      </c>
      <c r="P34" s="21">
        <v>0</v>
      </c>
      <c r="Q34" s="21">
        <v>0</v>
      </c>
    </row>
    <row r="35" spans="1:17" s="20" customFormat="1" x14ac:dyDescent="0.2">
      <c r="A35" s="20" t="s">
        <v>17</v>
      </c>
      <c r="B35" s="20">
        <v>21.233000000000001</v>
      </c>
      <c r="C35" s="20">
        <v>7.6340000000000003</v>
      </c>
      <c r="E35" s="20">
        <v>45.960999999999999</v>
      </c>
      <c r="F35" s="20">
        <v>-12.798</v>
      </c>
      <c r="G35" s="20">
        <v>37.695999999999998</v>
      </c>
      <c r="J35" s="20">
        <v>12.577449</v>
      </c>
      <c r="K35" s="20">
        <v>-2.4869699999999999</v>
      </c>
      <c r="L35" s="20">
        <v>26.630108</v>
      </c>
      <c r="M35" s="20">
        <v>32.323675000000001</v>
      </c>
      <c r="N35" s="20">
        <v>24.263852</v>
      </c>
      <c r="O35" s="20">
        <v>1.5271490000000001</v>
      </c>
      <c r="P35" s="20">
        <v>28.152365999999986</v>
      </c>
      <c r="Q35" s="20">
        <v>30.264195000000001</v>
      </c>
    </row>
    <row r="36" spans="1:17" s="11" customFormat="1" x14ac:dyDescent="0.2">
      <c r="A36" s="19" t="s">
        <v>16</v>
      </c>
      <c r="B36" s="21">
        <v>-8.4580000000000002</v>
      </c>
      <c r="C36" s="21">
        <v>-8.9730000000000008</v>
      </c>
      <c r="D36" s="21"/>
      <c r="E36" s="21">
        <v>-5.165</v>
      </c>
      <c r="F36" s="21">
        <v>-6.9729999999999999</v>
      </c>
      <c r="G36" s="21">
        <v>-5.6020000000000003</v>
      </c>
      <c r="H36" s="21"/>
      <c r="I36" s="21"/>
      <c r="J36" s="21">
        <v>-7.723236</v>
      </c>
      <c r="K36" s="21">
        <v>-8.277666</v>
      </c>
      <c r="L36" s="21">
        <v>-11.091715000000002</v>
      </c>
      <c r="M36" s="21">
        <v>-7.6301490000000012</v>
      </c>
      <c r="N36" s="21">
        <v>-10.27923</v>
      </c>
      <c r="O36" s="21">
        <v>-10.330798</v>
      </c>
      <c r="P36" s="21">
        <v>-15.727156000000001</v>
      </c>
      <c r="Q36" s="21">
        <v>-18.587686000000005</v>
      </c>
    </row>
    <row r="37" spans="1:17" s="20" customFormat="1" x14ac:dyDescent="0.2">
      <c r="A37" s="20" t="s">
        <v>15</v>
      </c>
      <c r="B37" s="20">
        <f>B35+B36</f>
        <v>12.775</v>
      </c>
      <c r="C37" s="20">
        <f>C35+C36</f>
        <v>-1.3390000000000004</v>
      </c>
      <c r="E37" s="20">
        <f>E35+E36</f>
        <v>40.795999999999999</v>
      </c>
      <c r="F37" s="20">
        <f>F35+F36</f>
        <v>-19.771000000000001</v>
      </c>
      <c r="G37" s="20">
        <f>G35+G36</f>
        <v>32.093999999999994</v>
      </c>
      <c r="J37" s="20">
        <f t="shared" ref="J37:Q37" si="3">+J35+J36</f>
        <v>4.8542129999999997</v>
      </c>
      <c r="K37" s="20">
        <f t="shared" si="3"/>
        <v>-10.764635999999999</v>
      </c>
      <c r="L37" s="20">
        <f t="shared" si="3"/>
        <v>15.538392999999997</v>
      </c>
      <c r="M37" s="20">
        <f t="shared" si="3"/>
        <v>24.693525999999999</v>
      </c>
      <c r="N37" s="20">
        <f t="shared" si="3"/>
        <v>13.984622</v>
      </c>
      <c r="O37" s="20">
        <f t="shared" si="3"/>
        <v>-8.8036490000000001</v>
      </c>
      <c r="P37" s="20">
        <f t="shared" si="3"/>
        <v>12.425209999999986</v>
      </c>
      <c r="Q37" s="20">
        <f t="shared" si="3"/>
        <v>11.676508999999996</v>
      </c>
    </row>
    <row r="38" spans="1:17" x14ac:dyDescent="0.2">
      <c r="B38" s="11"/>
    </row>
    <row r="39" spans="1:17" s="16" customFormat="1" x14ac:dyDescent="0.2">
      <c r="A39" s="18" t="s">
        <v>14</v>
      </c>
      <c r="B39" s="19">
        <v>0</v>
      </c>
      <c r="C39" s="19">
        <v>0</v>
      </c>
      <c r="D39" s="19">
        <v>109.19499999999999</v>
      </c>
      <c r="E39" s="19">
        <v>23</v>
      </c>
      <c r="F39" s="19">
        <v>116</v>
      </c>
      <c r="G39" s="19">
        <v>0</v>
      </c>
      <c r="H39" s="19"/>
      <c r="I39" s="19"/>
      <c r="J39" s="19">
        <v>0</v>
      </c>
      <c r="K39" s="19"/>
      <c r="L39" s="19"/>
      <c r="M39" s="19"/>
      <c r="N39" s="19"/>
      <c r="O39" s="19"/>
      <c r="P39" s="19"/>
      <c r="Q39" s="19"/>
    </row>
    <row r="40" spans="1:17" s="16" customFormat="1" x14ac:dyDescent="0.2">
      <c r="A40" s="18" t="s">
        <v>13</v>
      </c>
      <c r="B40" s="19">
        <f>668.2+207.7+25.4</f>
        <v>901.30000000000007</v>
      </c>
      <c r="C40" s="19">
        <f>668.3+216+20.6</f>
        <v>904.9</v>
      </c>
      <c r="D40" s="19">
        <f>669.938+200+23</f>
        <v>892.93799999999999</v>
      </c>
      <c r="E40" s="19">
        <f>672+200+23</f>
        <v>895</v>
      </c>
      <c r="F40" s="19">
        <f>672+23</f>
        <v>695</v>
      </c>
      <c r="G40" s="19">
        <f>668.25+14.442</f>
        <v>682.69200000000001</v>
      </c>
      <c r="H40" s="19"/>
      <c r="I40" s="19"/>
      <c r="J40" s="19">
        <f>655+15</f>
        <v>670</v>
      </c>
      <c r="K40" s="19"/>
      <c r="L40" s="19"/>
      <c r="M40" s="19"/>
      <c r="N40" s="19"/>
      <c r="O40" s="19"/>
      <c r="P40" s="19"/>
      <c r="Q40" s="19"/>
    </row>
    <row r="41" spans="1:17" s="16" customFormat="1" x14ac:dyDescent="0.2">
      <c r="A41" s="18" t="s">
        <v>12</v>
      </c>
      <c r="B41" s="19">
        <f>B39+B40+175</f>
        <v>1076.3000000000002</v>
      </c>
      <c r="C41" s="19">
        <f>C39+C40+175</f>
        <v>1079.9000000000001</v>
      </c>
      <c r="D41" s="19">
        <f>D39+D40+175</f>
        <v>1177.133</v>
      </c>
      <c r="E41" s="19">
        <f>E39+E40+175</f>
        <v>1093</v>
      </c>
      <c r="F41" s="19">
        <f>F39+F40+175</f>
        <v>986</v>
      </c>
      <c r="G41" s="19">
        <f>G39+G40+115</f>
        <v>797.69200000000001</v>
      </c>
      <c r="H41" s="19"/>
      <c r="I41" s="19"/>
      <c r="J41" s="19">
        <f>J39+J40+135</f>
        <v>805</v>
      </c>
      <c r="K41" s="19"/>
      <c r="L41" s="19"/>
      <c r="M41" s="19"/>
      <c r="N41" s="19"/>
      <c r="O41" s="19"/>
      <c r="P41" s="19"/>
      <c r="Q41" s="19"/>
    </row>
    <row r="42" spans="1:17" s="16" customFormat="1" x14ac:dyDescent="0.2">
      <c r="A42" s="18" t="s">
        <v>11</v>
      </c>
      <c r="B42" s="17">
        <f>597+251</f>
        <v>848</v>
      </c>
      <c r="C42" s="17">
        <f>597+251</f>
        <v>848</v>
      </c>
      <c r="D42" s="17">
        <f>597+223</f>
        <v>820</v>
      </c>
      <c r="E42" s="17">
        <f>597+223</f>
        <v>820</v>
      </c>
      <c r="F42" s="17">
        <f>597+149</f>
        <v>746</v>
      </c>
      <c r="G42" s="17">
        <v>580</v>
      </c>
      <c r="H42" s="17"/>
      <c r="I42" s="17"/>
      <c r="J42" s="17">
        <v>580</v>
      </c>
      <c r="K42" s="17"/>
      <c r="L42" s="17"/>
      <c r="M42" s="17"/>
      <c r="N42" s="17"/>
      <c r="O42" s="17"/>
      <c r="P42" s="17"/>
      <c r="Q42" s="17"/>
    </row>
    <row r="43" spans="1:17" x14ac:dyDescent="0.2">
      <c r="B43" s="16"/>
      <c r="C43" s="16"/>
      <c r="D43" s="16"/>
      <c r="E43" s="16"/>
      <c r="F43" s="16"/>
      <c r="G43" s="16"/>
      <c r="H43" s="16"/>
      <c r="I43" s="16"/>
      <c r="J43" s="16"/>
      <c r="K43" s="16"/>
      <c r="L43" s="16"/>
    </row>
    <row r="44" spans="1:17" x14ac:dyDescent="0.2">
      <c r="A44" s="15" t="s">
        <v>10</v>
      </c>
      <c r="B44" s="27">
        <v>34.878</v>
      </c>
      <c r="C44" s="27">
        <v>20.6</v>
      </c>
      <c r="D44" s="27">
        <v>31.672999999999998</v>
      </c>
      <c r="E44" s="27">
        <v>15</v>
      </c>
      <c r="F44" s="27">
        <v>15</v>
      </c>
      <c r="G44" s="27">
        <v>79.744</v>
      </c>
      <c r="H44" s="27"/>
      <c r="I44" s="27"/>
      <c r="J44" s="27">
        <v>4</v>
      </c>
      <c r="K44" s="27"/>
      <c r="L44" s="27"/>
      <c r="M44" s="27"/>
      <c r="N44" s="27"/>
      <c r="O44" s="27"/>
      <c r="P44" s="14"/>
      <c r="Q44" s="14"/>
    </row>
    <row r="46" spans="1:17" x14ac:dyDescent="0.2">
      <c r="A46" s="1" t="s">
        <v>9</v>
      </c>
      <c r="B46" s="13">
        <f>C46+B12-F12</f>
        <v>1221.277</v>
      </c>
      <c r="C46" s="13">
        <f>D46+C12-G12</f>
        <v>1213.5999999999999</v>
      </c>
      <c r="D46" s="12">
        <v>1208</v>
      </c>
      <c r="E46" s="12">
        <v>1201.4000000000001</v>
      </c>
      <c r="F46" s="12">
        <v>1021</v>
      </c>
      <c r="G46" s="12"/>
      <c r="H46" s="12"/>
      <c r="I46" s="12"/>
      <c r="J46" s="12">
        <v>931.3</v>
      </c>
      <c r="K46" s="11">
        <f>SUM(K12:N12)</f>
        <v>748.79605850000007</v>
      </c>
      <c r="L46" s="11">
        <f>SUM(L12:O12)</f>
        <v>742.75038399999994</v>
      </c>
      <c r="M46" s="11">
        <f>SUM(M12:P12)</f>
        <v>754.41326750000007</v>
      </c>
      <c r="N46" s="11">
        <f>SUM(N12:Q12)</f>
        <v>756.51707800000008</v>
      </c>
    </row>
    <row r="47" spans="1:17" x14ac:dyDescent="0.2">
      <c r="A47" s="1" t="s">
        <v>8</v>
      </c>
      <c r="B47" s="13">
        <f t="shared" ref="B47:G47" si="4">B27</f>
        <v>192.9</v>
      </c>
      <c r="C47" s="13">
        <f t="shared" si="4"/>
        <v>190.1</v>
      </c>
      <c r="D47" s="13">
        <f t="shared" si="4"/>
        <v>192</v>
      </c>
      <c r="E47" s="13">
        <f t="shared" si="4"/>
        <v>189.8</v>
      </c>
      <c r="F47" s="13">
        <f t="shared" si="4"/>
        <v>172</v>
      </c>
      <c r="G47" s="13">
        <f t="shared" si="4"/>
        <v>152.61999999999998</v>
      </c>
      <c r="H47" s="12"/>
      <c r="I47" s="12"/>
      <c r="J47" s="12">
        <v>136.70000000000002</v>
      </c>
      <c r="K47" s="11">
        <f>+K27</f>
        <v>107.440741</v>
      </c>
      <c r="L47" s="11">
        <f>+L27</f>
        <v>107.52927600000001</v>
      </c>
      <c r="M47" s="11">
        <f>+M27</f>
        <v>107.4526810000001</v>
      </c>
      <c r="N47" s="11">
        <f>+N27</f>
        <v>105.86833600000011</v>
      </c>
    </row>
    <row r="48" spans="1:17" x14ac:dyDescent="0.2">
      <c r="A48" s="1" t="s">
        <v>7</v>
      </c>
      <c r="B48" s="13">
        <f>C48+B37-F37</f>
        <v>62.721000000000004</v>
      </c>
      <c r="C48" s="13">
        <f>D48+C37-G37</f>
        <v>30.175000000000004</v>
      </c>
      <c r="D48" s="12">
        <v>63.607999999999997</v>
      </c>
      <c r="E48" s="12"/>
      <c r="F48" s="12"/>
      <c r="G48" s="12"/>
      <c r="H48" s="12"/>
      <c r="I48" s="12"/>
      <c r="J48" s="12">
        <v>42.649600000000021</v>
      </c>
      <c r="K48" s="11">
        <f>+SUM(K37:N37)</f>
        <v>43.451904999999996</v>
      </c>
      <c r="L48" s="11">
        <f>+SUM(L37:O37)</f>
        <v>45.412891999999999</v>
      </c>
      <c r="M48" s="11">
        <f>+SUM(M37:P37)</f>
        <v>42.299708999999986</v>
      </c>
      <c r="N48" s="11">
        <f>+SUM(N37:Q37)</f>
        <v>29.282691999999983</v>
      </c>
    </row>
    <row r="50" spans="1:17" s="10" customFormat="1" x14ac:dyDescent="0.2">
      <c r="A50" s="10" t="s">
        <v>6</v>
      </c>
      <c r="B50" s="10">
        <f t="shared" ref="B50:G50" si="5">+SUM(B39:B40)/B47</f>
        <v>4.6723691031622607</v>
      </c>
      <c r="C50" s="10">
        <f t="shared" si="5"/>
        <v>4.7601262493424512</v>
      </c>
      <c r="D50" s="10">
        <f t="shared" si="5"/>
        <v>5.2194427083333332</v>
      </c>
      <c r="E50" s="10">
        <f t="shared" si="5"/>
        <v>4.8366701791359326</v>
      </c>
      <c r="F50" s="10">
        <f t="shared" si="5"/>
        <v>4.7151162790697674</v>
      </c>
      <c r="G50" s="10">
        <f t="shared" si="5"/>
        <v>4.4731489975101564</v>
      </c>
      <c r="J50" s="10">
        <f>+SUM(J39:J40)/J47</f>
        <v>4.9012435991221643</v>
      </c>
    </row>
    <row r="51" spans="1:17" s="10" customFormat="1" x14ac:dyDescent="0.2">
      <c r="A51" s="10" t="s">
        <v>5</v>
      </c>
      <c r="B51" s="10">
        <f t="shared" ref="B51:G51" si="6">+B41/B47</f>
        <v>5.5795749092794198</v>
      </c>
      <c r="C51" s="10">
        <f t="shared" si="6"/>
        <v>5.680694371383483</v>
      </c>
      <c r="D51" s="10">
        <f t="shared" si="6"/>
        <v>6.1309010416666672</v>
      </c>
      <c r="E51" s="10">
        <f t="shared" si="6"/>
        <v>5.7586933614330871</v>
      </c>
      <c r="F51" s="10">
        <f t="shared" si="6"/>
        <v>5.7325581395348841</v>
      </c>
      <c r="G51" s="10">
        <f t="shared" si="6"/>
        <v>5.2266544358537557</v>
      </c>
      <c r="J51" s="10">
        <f>+J41/J47</f>
        <v>5.8888076079005112</v>
      </c>
    </row>
    <row r="52" spans="1:17" s="10" customFormat="1" x14ac:dyDescent="0.2">
      <c r="A52" s="10" t="s">
        <v>4</v>
      </c>
      <c r="B52" s="10">
        <f t="shared" ref="B52:G52" si="7">+(B41-B44)/B47</f>
        <v>5.3987662001036822</v>
      </c>
      <c r="C52" s="10">
        <f t="shared" si="7"/>
        <v>5.5723303524460821</v>
      </c>
      <c r="D52" s="10">
        <f t="shared" si="7"/>
        <v>5.9659374999999999</v>
      </c>
      <c r="E52" s="10">
        <f t="shared" si="7"/>
        <v>5.6796628029504737</v>
      </c>
      <c r="F52" s="10">
        <f t="shared" si="7"/>
        <v>5.6453488372093021</v>
      </c>
      <c r="G52" s="10">
        <f t="shared" si="7"/>
        <v>4.7041541082426948</v>
      </c>
      <c r="J52" s="10">
        <f>+(J41-J44)/J47</f>
        <v>5.8595464520848566</v>
      </c>
    </row>
    <row r="53" spans="1:17" s="6" customFormat="1" x14ac:dyDescent="0.2">
      <c r="A53" s="6" t="s">
        <v>3</v>
      </c>
      <c r="B53" s="6">
        <f t="shared" ref="B53:G53" si="8">+B48/B41</f>
        <v>5.8274644615813428E-2</v>
      </c>
      <c r="C53" s="6">
        <f t="shared" si="8"/>
        <v>2.7942402074266137E-2</v>
      </c>
      <c r="D53" s="6">
        <f t="shared" si="8"/>
        <v>5.4036374819158066E-2</v>
      </c>
      <c r="E53" s="6">
        <f t="shared" si="8"/>
        <v>0</v>
      </c>
      <c r="F53" s="6">
        <f t="shared" si="8"/>
        <v>0</v>
      </c>
      <c r="G53" s="6">
        <f t="shared" si="8"/>
        <v>0</v>
      </c>
      <c r="J53" s="6">
        <f>+J48/J41</f>
        <v>5.2980869565217414E-2</v>
      </c>
    </row>
    <row r="54" spans="1:17" s="6" customFormat="1" x14ac:dyDescent="0.2">
      <c r="A54" s="8" t="s">
        <v>2</v>
      </c>
      <c r="B54" s="9"/>
      <c r="C54" s="9"/>
      <c r="D54" s="9"/>
      <c r="E54" s="9"/>
      <c r="F54" s="9"/>
      <c r="G54" s="9"/>
      <c r="H54" s="9"/>
      <c r="I54" s="9"/>
      <c r="J54" s="9"/>
      <c r="K54" s="9"/>
      <c r="L54" s="9"/>
      <c r="M54" s="9"/>
      <c r="N54" s="9"/>
      <c r="O54" s="8"/>
      <c r="P54" s="8"/>
      <c r="Q54" s="8"/>
    </row>
    <row r="55" spans="1:17" s="6" customFormat="1" x14ac:dyDescent="0.2">
      <c r="A55" s="6" t="s">
        <v>1</v>
      </c>
      <c r="B55" s="7">
        <f t="shared" ref="B55:G55" si="9">IF(B42=0,IF(B54="","","*"&amp;TEXT(B54,"0.0x")),(B41+B42-B44)/B47)</f>
        <v>9.794826334888544</v>
      </c>
      <c r="C55" s="7">
        <f t="shared" si="9"/>
        <v>10.033140452393479</v>
      </c>
      <c r="D55" s="7">
        <f t="shared" si="9"/>
        <v>10.236770833333333</v>
      </c>
      <c r="E55" s="7">
        <f t="shared" si="9"/>
        <v>10</v>
      </c>
      <c r="F55" s="7">
        <f t="shared" si="9"/>
        <v>9.9825581395348841</v>
      </c>
      <c r="G55" s="7">
        <f t="shared" si="9"/>
        <v>8.5044424059756274</v>
      </c>
      <c r="H55" s="7"/>
      <c r="I55" s="7"/>
      <c r="J55" s="7">
        <f>IF(J42=0,IF(J54="","","*"&amp;TEXT(J54,"0.0x")),(J41+J42-J44)/J47)</f>
        <v>10.10241404535479</v>
      </c>
      <c r="K55" s="7" t="str">
        <f>IF(K42=0,IF(K54="","","*"&amp;TEXT(K54,"0.0x")),(K41+K42-K44)/K47)</f>
        <v/>
      </c>
      <c r="L55" s="7" t="str">
        <f>IF(L42=0,IF(L54="","","*"&amp;TEXT(L54,"0.0x")),(L41+L42-L44)/L47)</f>
        <v/>
      </c>
      <c r="M55" s="7" t="str">
        <f>IF(M42=0,IF(M54="","","*"&amp;TEXT(M54,"0.0x")),(M41+M42-M44)/M47)</f>
        <v/>
      </c>
      <c r="N55" s="7" t="str">
        <f>IF(N42=0,IF(N54="","","*"&amp;TEXT(N54,"0.0x")),(N41+N42-N44)/N47)</f>
        <v/>
      </c>
      <c r="O55" s="7" t="str">
        <f>IF(O42=0,IF(O54="","",CONCATENATE("* ",O54,"x")),(O41+O42-O44)/O47)</f>
        <v/>
      </c>
      <c r="P55" s="7" t="str">
        <f>IF(P42=0,IF(P54="","",CONCATENATE("* ",P54,"x")),(P41+P42-P44)/P47)</f>
        <v/>
      </c>
      <c r="Q55" s="7" t="str">
        <f>IF(Q42=0,IF(Q54="","",CONCATENATE("* ",Q54,"x")),(Q41+Q42-Q44)/Q47)</f>
        <v/>
      </c>
    </row>
    <row r="56" spans="1:17" x14ac:dyDescent="0.2">
      <c r="N56" s="3"/>
    </row>
    <row r="57" spans="1:17" ht="80.25" customHeight="1" x14ac:dyDescent="0.2">
      <c r="A57" s="5" t="s">
        <v>0</v>
      </c>
      <c r="B57" s="4" t="s">
        <v>459</v>
      </c>
      <c r="C57" s="4" t="s">
        <v>427</v>
      </c>
      <c r="D57" s="4" t="s">
        <v>389</v>
      </c>
      <c r="E57" s="4" t="s">
        <v>340</v>
      </c>
      <c r="F57" s="4" t="s">
        <v>340</v>
      </c>
      <c r="G57" s="4" t="s">
        <v>235</v>
      </c>
      <c r="H57" s="4"/>
      <c r="I57" s="4"/>
      <c r="J57" s="4" t="s">
        <v>130</v>
      </c>
      <c r="K57" s="4"/>
      <c r="L57" s="4"/>
      <c r="M57" s="4"/>
      <c r="N57" s="4"/>
      <c r="O57" s="4"/>
      <c r="P57" s="4"/>
      <c r="Q57" s="4"/>
    </row>
    <row r="58" spans="1:17" x14ac:dyDescent="0.2">
      <c r="A58" s="2"/>
      <c r="B58" s="3"/>
      <c r="C58" s="3"/>
      <c r="D58" s="3"/>
      <c r="E58" s="3"/>
      <c r="F58" s="3"/>
      <c r="G58" s="3"/>
      <c r="H58" s="3"/>
      <c r="I58" s="3"/>
      <c r="J58" s="3"/>
    </row>
    <row r="59" spans="1:17" x14ac:dyDescent="0.2">
      <c r="A59" s="2"/>
    </row>
  </sheetData>
  <pageMargins left="0.7" right="0.7" top="0.75" bottom="0.75" header="0.3" footer="0.3"/>
  <pageSetup orientation="portrait" r:id="rId1"/>
  <ignoredErrors>
    <ignoredError sqref="K46:N46 J24:N24" formulaRange="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3" width="10.7109375" style="1" customWidth="1"/>
    <col min="14" max="16384" width="9.140625" style="1"/>
  </cols>
  <sheetData>
    <row r="2" spans="1:13" x14ac:dyDescent="0.2">
      <c r="A2" s="34" t="s">
        <v>45</v>
      </c>
      <c r="B2" s="1" t="s">
        <v>171</v>
      </c>
    </row>
    <row r="3" spans="1:13" s="35" customFormat="1" x14ac:dyDescent="0.2">
      <c r="A3" s="36" t="s">
        <v>43</v>
      </c>
      <c r="B3" s="35" t="s">
        <v>170</v>
      </c>
    </row>
    <row r="4" spans="1:13" x14ac:dyDescent="0.2">
      <c r="A4" s="34" t="s">
        <v>41</v>
      </c>
      <c r="B4" s="1" t="s">
        <v>40</v>
      </c>
    </row>
    <row r="5" spans="1:13" x14ac:dyDescent="0.2">
      <c r="A5" s="34" t="s">
        <v>39</v>
      </c>
    </row>
    <row r="6" spans="1:13" x14ac:dyDescent="0.2">
      <c r="A6" s="34" t="s">
        <v>38</v>
      </c>
      <c r="B6" s="1">
        <v>4</v>
      </c>
    </row>
    <row r="7" spans="1:13" x14ac:dyDescent="0.2">
      <c r="A7" s="34" t="s">
        <v>37</v>
      </c>
      <c r="B7" s="1" t="e">
        <v>#N/A</v>
      </c>
    </row>
    <row r="8" spans="1:13" x14ac:dyDescent="0.2">
      <c r="A8" s="34" t="s">
        <v>281</v>
      </c>
      <c r="B8" s="1" t="e">
        <v>#N/A</v>
      </c>
    </row>
    <row r="9" spans="1:13" x14ac:dyDescent="0.2">
      <c r="A9" s="22"/>
    </row>
    <row r="10" spans="1:13" x14ac:dyDescent="0.2">
      <c r="A10" s="22" t="s">
        <v>36</v>
      </c>
      <c r="B10" s="33">
        <v>43282</v>
      </c>
      <c r="C10" s="33">
        <v>43190</v>
      </c>
      <c r="D10" s="33">
        <v>43100</v>
      </c>
      <c r="E10" s="33">
        <v>43008</v>
      </c>
      <c r="F10" s="33">
        <v>42917</v>
      </c>
      <c r="G10" s="33">
        <v>42825</v>
      </c>
      <c r="H10" s="33">
        <v>42735</v>
      </c>
      <c r="I10" s="33">
        <v>42643</v>
      </c>
      <c r="J10" s="33">
        <v>42551</v>
      </c>
      <c r="K10" s="33">
        <v>42460</v>
      </c>
      <c r="L10" s="33">
        <v>42369</v>
      </c>
      <c r="M10" s="33">
        <v>42277</v>
      </c>
    </row>
    <row r="12" spans="1:13" x14ac:dyDescent="0.2">
      <c r="A12" s="15" t="s">
        <v>35</v>
      </c>
      <c r="B12" s="19">
        <v>198.24700000000001</v>
      </c>
      <c r="C12" s="19">
        <v>198.18899999999999</v>
      </c>
      <c r="D12" s="19">
        <f>859.37-E12-F12-G12</f>
        <v>240.13100000000003</v>
      </c>
      <c r="E12" s="19">
        <v>225.749</v>
      </c>
      <c r="F12" s="19">
        <v>184.58999999999997</v>
      </c>
      <c r="G12" s="19">
        <v>208.89999999999998</v>
      </c>
      <c r="H12" s="19">
        <v>221.92199999999997</v>
      </c>
      <c r="I12" s="19">
        <v>194.3</v>
      </c>
      <c r="J12" s="19">
        <v>169.39999999999998</v>
      </c>
      <c r="K12" s="19">
        <v>180.048</v>
      </c>
      <c r="L12" s="19">
        <v>181.06800000000001</v>
      </c>
      <c r="M12" s="19">
        <v>171.328</v>
      </c>
    </row>
    <row r="13" spans="1:13" s="28" customFormat="1" x14ac:dyDescent="0.2">
      <c r="A13" s="28" t="s">
        <v>34</v>
      </c>
      <c r="B13" s="28">
        <f t="shared" ref="B13:I13" si="0">+B12/F12-1</f>
        <v>7.3985589685248598E-2</v>
      </c>
      <c r="C13" s="28">
        <f t="shared" si="0"/>
        <v>-5.1273336524652824E-2</v>
      </c>
      <c r="D13" s="28">
        <f t="shared" si="0"/>
        <v>8.2051351375708848E-2</v>
      </c>
      <c r="E13" s="28">
        <f t="shared" si="0"/>
        <v>0.1618579516212042</v>
      </c>
      <c r="F13" s="28">
        <f t="shared" si="0"/>
        <v>8.9669421487603262E-2</v>
      </c>
      <c r="G13" s="28">
        <f t="shared" si="0"/>
        <v>0.16024615658046737</v>
      </c>
      <c r="H13" s="28">
        <f t="shared" si="0"/>
        <v>0.22562794088408755</v>
      </c>
      <c r="I13" s="28">
        <f t="shared" si="0"/>
        <v>0.13408199477026517</v>
      </c>
    </row>
    <row r="14" spans="1:13" s="23" customFormat="1" x14ac:dyDescent="0.2">
      <c r="A14" s="31" t="s">
        <v>33</v>
      </c>
      <c r="B14" s="32" t="s">
        <v>32</v>
      </c>
      <c r="C14" s="32" t="s">
        <v>32</v>
      </c>
      <c r="D14" s="32" t="s">
        <v>32</v>
      </c>
      <c r="E14" s="32" t="s">
        <v>32</v>
      </c>
      <c r="F14" s="32" t="s">
        <v>32</v>
      </c>
      <c r="G14" s="32" t="s">
        <v>32</v>
      </c>
      <c r="H14" s="32" t="s">
        <v>32</v>
      </c>
      <c r="I14" s="32" t="s">
        <v>32</v>
      </c>
      <c r="J14" s="31"/>
      <c r="K14" s="31"/>
      <c r="L14" s="31"/>
      <c r="M14" s="31"/>
    </row>
    <row r="16" spans="1:13" s="22" customFormat="1" x14ac:dyDescent="0.2">
      <c r="A16" s="30" t="s">
        <v>31</v>
      </c>
      <c r="B16" s="29">
        <f>30.594-1.334</f>
        <v>29.26</v>
      </c>
      <c r="C16" s="29">
        <v>27.3</v>
      </c>
      <c r="D16" s="29">
        <f>21.954+28.807-15.262</f>
        <v>35.498999999999995</v>
      </c>
      <c r="E16" s="29">
        <f>33.037+0.058</f>
        <v>33.094999999999999</v>
      </c>
      <c r="F16" s="29">
        <f>17.455+2.121-0.082</f>
        <v>19.493999999999996</v>
      </c>
      <c r="G16" s="29">
        <f>41.861+0.216-0.011</f>
        <v>42.065999999999995</v>
      </c>
      <c r="H16" s="29">
        <v>40.567999999999998</v>
      </c>
      <c r="I16" s="29">
        <v>39.6</v>
      </c>
      <c r="J16" s="29">
        <v>36.100000000000009</v>
      </c>
      <c r="K16" s="29">
        <v>46.800000000000004</v>
      </c>
      <c r="L16" s="29">
        <v>36.56</v>
      </c>
      <c r="M16" s="29">
        <v>25.409000000000006</v>
      </c>
    </row>
    <row r="17" spans="1:13" s="28" customFormat="1" x14ac:dyDescent="0.2">
      <c r="A17" s="28" t="s">
        <v>30</v>
      </c>
      <c r="B17" s="28">
        <f t="shared" ref="B17:M17" si="1">+B16/B12</f>
        <v>0.14759365841601638</v>
      </c>
      <c r="C17" s="28">
        <f t="shared" si="1"/>
        <v>0.13774730181796166</v>
      </c>
      <c r="D17" s="28">
        <f t="shared" si="1"/>
        <v>0.14783180847120941</v>
      </c>
      <c r="E17" s="28">
        <f t="shared" si="1"/>
        <v>0.14660087087871929</v>
      </c>
      <c r="F17" s="28">
        <f t="shared" si="1"/>
        <v>0.10560702096538273</v>
      </c>
      <c r="G17" s="28">
        <f t="shared" si="1"/>
        <v>0.20136907611297272</v>
      </c>
      <c r="H17" s="28">
        <f t="shared" si="1"/>
        <v>0.18280296680815783</v>
      </c>
      <c r="I17" s="28">
        <f t="shared" si="1"/>
        <v>0.2038085434894493</v>
      </c>
      <c r="J17" s="28">
        <f t="shared" si="1"/>
        <v>0.21310507674144047</v>
      </c>
      <c r="K17" s="28">
        <f t="shared" si="1"/>
        <v>0.25993068515062651</v>
      </c>
      <c r="L17" s="28">
        <f t="shared" si="1"/>
        <v>0.20191309342346522</v>
      </c>
      <c r="M17" s="28">
        <f t="shared" si="1"/>
        <v>0.14830617295480017</v>
      </c>
    </row>
    <row r="18" spans="1:13" s="23" customFormat="1" x14ac:dyDescent="0.2"/>
    <row r="19" spans="1:13" s="23" customFormat="1" x14ac:dyDescent="0.2">
      <c r="A19" s="15" t="s">
        <v>29</v>
      </c>
      <c r="B19" s="19">
        <v>0</v>
      </c>
      <c r="C19" s="19">
        <v>0</v>
      </c>
      <c r="D19" s="19">
        <v>0</v>
      </c>
      <c r="E19" s="19">
        <v>0</v>
      </c>
      <c r="F19" s="19">
        <v>0</v>
      </c>
      <c r="G19" s="19">
        <v>0</v>
      </c>
      <c r="H19" s="19">
        <v>0</v>
      </c>
      <c r="I19" s="19">
        <v>0</v>
      </c>
      <c r="J19" s="19">
        <v>0</v>
      </c>
      <c r="K19" s="19">
        <v>0</v>
      </c>
      <c r="L19" s="19">
        <v>0</v>
      </c>
      <c r="M19" s="19">
        <v>0</v>
      </c>
    </row>
    <row r="20" spans="1:13" s="23" customFormat="1" x14ac:dyDescent="0.2">
      <c r="A20" s="15" t="s">
        <v>28</v>
      </c>
      <c r="B20" s="19">
        <f>0.606+0.503</f>
        <v>1.109</v>
      </c>
      <c r="C20" s="19">
        <v>0</v>
      </c>
      <c r="D20" s="19">
        <f>2.726+0.963+0.939</f>
        <v>4.6280000000000001</v>
      </c>
      <c r="E20" s="19">
        <f>1.104+0.778+0.448</f>
        <v>2.33</v>
      </c>
      <c r="F20" s="19">
        <f>0.035+0.593+2.359</f>
        <v>2.9870000000000001</v>
      </c>
      <c r="G20" s="19">
        <f>0.535+0.417</f>
        <v>0.95199999999999996</v>
      </c>
      <c r="H20" s="19">
        <v>0</v>
      </c>
      <c r="I20" s="19">
        <v>0</v>
      </c>
      <c r="J20" s="19">
        <v>0</v>
      </c>
      <c r="K20" s="19">
        <v>0</v>
      </c>
      <c r="L20" s="19">
        <v>0</v>
      </c>
      <c r="M20" s="19">
        <v>0</v>
      </c>
    </row>
    <row r="21" spans="1:13" s="23" customFormat="1" x14ac:dyDescent="0.2">
      <c r="A21" s="15" t="s">
        <v>18</v>
      </c>
      <c r="B21" s="19">
        <f t="shared" ref="B21:M21" si="2">B22-B16-B19-B20</f>
        <v>6.3920000000000012</v>
      </c>
      <c r="C21" s="19">
        <f t="shared" si="2"/>
        <v>-3.679000000000002</v>
      </c>
      <c r="D21" s="19">
        <f t="shared" si="2"/>
        <v>8.929000000000002</v>
      </c>
      <c r="E21" s="19">
        <f t="shared" si="2"/>
        <v>2.048</v>
      </c>
      <c r="F21" s="19">
        <f t="shared" si="2"/>
        <v>4.5500000000000025</v>
      </c>
      <c r="G21" s="19">
        <f t="shared" si="2"/>
        <v>3.8480000000000043</v>
      </c>
      <c r="H21" s="19">
        <f t="shared" si="2"/>
        <v>5.3639999999999972</v>
      </c>
      <c r="I21" s="19">
        <f t="shared" si="2"/>
        <v>8.8279999999999959</v>
      </c>
      <c r="J21" s="19">
        <f t="shared" si="2"/>
        <v>3.796999999999997</v>
      </c>
      <c r="K21" s="19">
        <f t="shared" si="2"/>
        <v>1.3049999999999997</v>
      </c>
      <c r="L21" s="19">
        <f t="shared" si="2"/>
        <v>10.826000000000001</v>
      </c>
      <c r="M21" s="19">
        <f t="shared" si="2"/>
        <v>14.001000000000005</v>
      </c>
    </row>
    <row r="22" spans="1:13" s="22" customFormat="1" x14ac:dyDescent="0.2">
      <c r="A22" s="22" t="s">
        <v>23</v>
      </c>
      <c r="B22" s="61">
        <v>36.761000000000003</v>
      </c>
      <c r="C22" s="61">
        <v>23.620999999999999</v>
      </c>
      <c r="D22" s="61">
        <v>49.055999999999997</v>
      </c>
      <c r="E22" s="61">
        <v>37.472999999999999</v>
      </c>
      <c r="F22" s="61">
        <v>27.030999999999999</v>
      </c>
      <c r="G22" s="61">
        <v>46.866</v>
      </c>
      <c r="H22" s="20">
        <v>45.931999999999995</v>
      </c>
      <c r="I22" s="20">
        <v>48.427999999999997</v>
      </c>
      <c r="J22" s="20">
        <v>39.897000000000006</v>
      </c>
      <c r="K22" s="20">
        <v>48.105000000000004</v>
      </c>
      <c r="L22" s="20">
        <v>47.386000000000003</v>
      </c>
      <c r="M22" s="20">
        <v>39.410000000000011</v>
      </c>
    </row>
    <row r="23" spans="1:13" s="22" customFormat="1" x14ac:dyDescent="0.2">
      <c r="B23" s="20"/>
      <c r="C23" s="20"/>
      <c r="D23" s="20"/>
      <c r="E23" s="20"/>
      <c r="F23" s="20"/>
      <c r="G23" s="20"/>
      <c r="H23" s="20"/>
      <c r="I23" s="20"/>
      <c r="J23" s="20"/>
      <c r="K23" s="20"/>
      <c r="L23" s="20"/>
      <c r="M23" s="20"/>
    </row>
    <row r="24" spans="1:13" s="22" customFormat="1" x14ac:dyDescent="0.2">
      <c r="A24" s="22" t="s">
        <v>27</v>
      </c>
      <c r="B24" s="20">
        <f t="shared" ref="B24:J24" si="3">SUM(B22:E22)</f>
        <v>146.911</v>
      </c>
      <c r="C24" s="20">
        <f t="shared" si="3"/>
        <v>137.18099999999998</v>
      </c>
      <c r="D24" s="20">
        <f t="shared" si="3"/>
        <v>160.42599999999999</v>
      </c>
      <c r="E24" s="20">
        <f t="shared" si="3"/>
        <v>157.30199999999999</v>
      </c>
      <c r="F24" s="20">
        <f t="shared" si="3"/>
        <v>168.25699999999998</v>
      </c>
      <c r="G24" s="20">
        <f t="shared" si="3"/>
        <v>181.12299999999999</v>
      </c>
      <c r="H24" s="20">
        <f t="shared" si="3"/>
        <v>182.36200000000002</v>
      </c>
      <c r="I24" s="20">
        <f t="shared" si="3"/>
        <v>183.816</v>
      </c>
      <c r="J24" s="20">
        <f t="shared" si="3"/>
        <v>174.798</v>
      </c>
      <c r="K24" s="20"/>
      <c r="L24" s="20"/>
      <c r="M24" s="20"/>
    </row>
    <row r="25" spans="1:13" s="23" customFormat="1" x14ac:dyDescent="0.2">
      <c r="A25" s="15" t="s">
        <v>26</v>
      </c>
      <c r="B25" s="27">
        <f>163.523-B24</f>
        <v>16.611999999999995</v>
      </c>
      <c r="C25" s="27">
        <f>147-C24</f>
        <v>9.8190000000000168</v>
      </c>
      <c r="D25" s="27">
        <v>2</v>
      </c>
      <c r="E25" s="27">
        <v>0</v>
      </c>
      <c r="F25" s="27">
        <v>0</v>
      </c>
      <c r="G25" s="27">
        <v>0</v>
      </c>
      <c r="H25" s="27">
        <v>0</v>
      </c>
      <c r="I25" s="27">
        <v>0</v>
      </c>
      <c r="J25" s="27">
        <v>0</v>
      </c>
      <c r="K25" s="27"/>
      <c r="L25" s="27"/>
      <c r="M25" s="27"/>
    </row>
    <row r="26" spans="1:13" s="23" customFormat="1" x14ac:dyDescent="0.2">
      <c r="A26" s="15" t="s">
        <v>25</v>
      </c>
      <c r="B26" s="21">
        <v>0</v>
      </c>
      <c r="C26" s="21">
        <v>0</v>
      </c>
      <c r="D26" s="21">
        <f>-0.409+13.872+0.612+0.934+1.37+10.125-18.598</f>
        <v>7.9059999999999988</v>
      </c>
      <c r="E26" s="21">
        <f>180-E24-E25</f>
        <v>22.698000000000008</v>
      </c>
      <c r="F26" s="21">
        <f>180-F24-F25</f>
        <v>11.743000000000023</v>
      </c>
      <c r="G26" s="21">
        <f>185-G24-G25</f>
        <v>3.8770000000000095</v>
      </c>
      <c r="H26" s="21">
        <v>0</v>
      </c>
      <c r="I26" s="21">
        <v>0</v>
      </c>
      <c r="J26" s="21">
        <v>0</v>
      </c>
      <c r="K26" s="26"/>
      <c r="L26" s="26"/>
      <c r="M26" s="26"/>
    </row>
    <row r="27" spans="1:13" s="24" customFormat="1" x14ac:dyDescent="0.2">
      <c r="A27" s="22" t="s">
        <v>24</v>
      </c>
      <c r="B27" s="20">
        <f t="shared" ref="B27:J27" si="4">SUM(B24:B26)</f>
        <v>163.523</v>
      </c>
      <c r="C27" s="20">
        <f t="shared" si="4"/>
        <v>147</v>
      </c>
      <c r="D27" s="20">
        <f t="shared" si="4"/>
        <v>170.33199999999999</v>
      </c>
      <c r="E27" s="20">
        <f t="shared" si="4"/>
        <v>180</v>
      </c>
      <c r="F27" s="20">
        <f t="shared" si="4"/>
        <v>180</v>
      </c>
      <c r="G27" s="20">
        <f t="shared" si="4"/>
        <v>185</v>
      </c>
      <c r="H27" s="20">
        <f t="shared" si="4"/>
        <v>182.36200000000002</v>
      </c>
      <c r="I27" s="20">
        <f t="shared" si="4"/>
        <v>183.816</v>
      </c>
      <c r="J27" s="20">
        <f t="shared" si="4"/>
        <v>174.798</v>
      </c>
      <c r="K27" s="25"/>
      <c r="L27" s="25"/>
      <c r="M27" s="25"/>
    </row>
    <row r="28" spans="1:13" s="23" customFormat="1" x14ac:dyDescent="0.2"/>
    <row r="29" spans="1:13" s="22" customFormat="1" x14ac:dyDescent="0.2">
      <c r="A29" s="22" t="s">
        <v>23</v>
      </c>
      <c r="B29" s="20">
        <f t="shared" ref="B29:M29" si="5">B22</f>
        <v>36.761000000000003</v>
      </c>
      <c r="C29" s="20">
        <f t="shared" si="5"/>
        <v>23.620999999999999</v>
      </c>
      <c r="D29" s="20">
        <f t="shared" si="5"/>
        <v>49.055999999999997</v>
      </c>
      <c r="E29" s="20">
        <f t="shared" si="5"/>
        <v>37.472999999999999</v>
      </c>
      <c r="F29" s="20">
        <f t="shared" si="5"/>
        <v>27.030999999999999</v>
      </c>
      <c r="G29" s="20">
        <f t="shared" si="5"/>
        <v>46.866</v>
      </c>
      <c r="H29" s="20">
        <f t="shared" si="5"/>
        <v>45.931999999999995</v>
      </c>
      <c r="I29" s="20">
        <f t="shared" si="5"/>
        <v>48.427999999999997</v>
      </c>
      <c r="J29" s="20">
        <f t="shared" si="5"/>
        <v>39.897000000000006</v>
      </c>
      <c r="K29" s="20">
        <f t="shared" si="5"/>
        <v>48.105000000000004</v>
      </c>
      <c r="L29" s="20">
        <f t="shared" si="5"/>
        <v>47.386000000000003</v>
      </c>
      <c r="M29" s="20">
        <f t="shared" si="5"/>
        <v>39.410000000000011</v>
      </c>
    </row>
    <row r="30" spans="1:13" s="11" customFormat="1" x14ac:dyDescent="0.2">
      <c r="A30" s="19" t="s">
        <v>22</v>
      </c>
      <c r="B30" s="19">
        <f>-16.109</f>
        <v>-16.109000000000002</v>
      </c>
      <c r="C30" s="19">
        <v>-14.863</v>
      </c>
      <c r="D30" s="19">
        <f>-53.709-E30-F30-G30</f>
        <v>-12.244000000000005</v>
      </c>
      <c r="E30" s="19">
        <v>-12.8</v>
      </c>
      <c r="F30" s="19">
        <v>-15.765000000000001</v>
      </c>
      <c r="G30" s="19">
        <v>-12.9</v>
      </c>
      <c r="H30" s="19">
        <v>-13.410999999999994</v>
      </c>
      <c r="I30" s="19">
        <v>-12.2</v>
      </c>
      <c r="J30" s="19">
        <v>-11.3</v>
      </c>
      <c r="K30" s="19">
        <v>-25.9</v>
      </c>
      <c r="L30" s="19">
        <v>-10.870999999999999</v>
      </c>
      <c r="M30" s="19">
        <v>-11.576000000000001</v>
      </c>
    </row>
    <row r="31" spans="1:13" s="11" customFormat="1" x14ac:dyDescent="0.2">
      <c r="A31" s="19" t="s">
        <v>21</v>
      </c>
      <c r="B31" s="19">
        <v>8.3759999999999994</v>
      </c>
      <c r="C31" s="19">
        <v>-6.4000000000000001E-2</v>
      </c>
      <c r="D31" s="19">
        <f>-5.533-E31-F31-G31</f>
        <v>-10.635</v>
      </c>
      <c r="E31" s="19">
        <v>-0.2280000000000002</v>
      </c>
      <c r="F31" s="19">
        <v>7.343</v>
      </c>
      <c r="G31" s="19">
        <v>-2.0129999999999999</v>
      </c>
      <c r="H31" s="19">
        <v>1.2699999999999996</v>
      </c>
      <c r="I31" s="19">
        <v>-3.4489999999999998</v>
      </c>
      <c r="J31" s="19">
        <v>-1.306</v>
      </c>
      <c r="K31" s="19">
        <v>-1.323</v>
      </c>
      <c r="L31" s="19">
        <v>-1.1599999999999993</v>
      </c>
      <c r="M31" s="19">
        <v>-7.8E-2</v>
      </c>
    </row>
    <row r="32" spans="1:13" s="11" customFormat="1" x14ac:dyDescent="0.2">
      <c r="A32" s="19" t="s">
        <v>20</v>
      </c>
      <c r="B32" s="19">
        <f>-15.45</f>
        <v>-15.45</v>
      </c>
      <c r="C32" s="19">
        <v>-7.0880000000000001</v>
      </c>
      <c r="D32" s="19">
        <f>-19.116-0.31-0.712+2.942-11.473+9.148+3.672+16.251-E32-F32-G32</f>
        <v>11.334000000000005</v>
      </c>
      <c r="E32" s="19">
        <v>-6.4</v>
      </c>
      <c r="F32" s="19">
        <v>9.1679999999999993</v>
      </c>
      <c r="G32" s="19">
        <v>-13.7</v>
      </c>
      <c r="H32" s="19">
        <v>19.343000000000004</v>
      </c>
      <c r="I32" s="19">
        <v>-20.6</v>
      </c>
      <c r="J32" s="19">
        <v>4.8</v>
      </c>
      <c r="K32" s="19">
        <v>5.1979999999999995</v>
      </c>
      <c r="L32" s="19">
        <v>-24.174999999999983</v>
      </c>
      <c r="M32" s="19">
        <v>43.031999999999982</v>
      </c>
    </row>
    <row r="33" spans="1:13" s="11" customFormat="1" x14ac:dyDescent="0.2">
      <c r="A33" s="19" t="s">
        <v>19</v>
      </c>
      <c r="B33" s="19">
        <v>0</v>
      </c>
      <c r="C33" s="19">
        <v>0</v>
      </c>
      <c r="D33" s="19">
        <v>0</v>
      </c>
      <c r="E33" s="19">
        <v>0</v>
      </c>
      <c r="F33" s="19">
        <v>0</v>
      </c>
      <c r="G33" s="19">
        <v>0</v>
      </c>
      <c r="H33" s="19">
        <v>0</v>
      </c>
      <c r="I33" s="19">
        <v>0</v>
      </c>
      <c r="J33" s="19">
        <v>0</v>
      </c>
      <c r="K33" s="19">
        <v>0</v>
      </c>
      <c r="L33" s="19">
        <v>0</v>
      </c>
      <c r="M33" s="19">
        <v>0</v>
      </c>
    </row>
    <row r="34" spans="1:13" s="11" customFormat="1" x14ac:dyDescent="0.2">
      <c r="A34" s="19" t="s">
        <v>18</v>
      </c>
      <c r="B34" s="21">
        <f t="shared" ref="B34:M34" si="6">B35-B29-B30-B31-B32-B33</f>
        <v>-11.732000000000003</v>
      </c>
      <c r="C34" s="21">
        <f t="shared" si="6"/>
        <v>-7.5000000000000178E-2</v>
      </c>
      <c r="D34" s="21">
        <f t="shared" si="6"/>
        <v>-12.199999999999998</v>
      </c>
      <c r="E34" s="21">
        <f t="shared" si="6"/>
        <v>-2.2409999999999961</v>
      </c>
      <c r="F34" s="21">
        <f t="shared" si="6"/>
        <v>-7.6119999999999983</v>
      </c>
      <c r="G34" s="21">
        <f t="shared" si="6"/>
        <v>-4.3960000000000043</v>
      </c>
      <c r="H34" s="21">
        <f t="shared" si="6"/>
        <v>-5.3469999999999978</v>
      </c>
      <c r="I34" s="21">
        <f t="shared" si="6"/>
        <v>-17.729999999999997</v>
      </c>
      <c r="J34" s="21">
        <f t="shared" si="6"/>
        <v>-14.489000000000004</v>
      </c>
      <c r="K34" s="21">
        <f t="shared" si="6"/>
        <v>-6.6130000000000067</v>
      </c>
      <c r="L34" s="21">
        <f t="shared" si="6"/>
        <v>-6.411999999999999</v>
      </c>
      <c r="M34" s="21">
        <f t="shared" si="6"/>
        <v>-58.875999999999991</v>
      </c>
    </row>
    <row r="35" spans="1:13" s="20" customFormat="1" x14ac:dyDescent="0.2">
      <c r="A35" s="20" t="s">
        <v>17</v>
      </c>
      <c r="B35" s="20">
        <v>1.8460000000000001</v>
      </c>
      <c r="C35" s="20">
        <v>1.5309999999999999</v>
      </c>
      <c r="D35" s="20">
        <f>75.137-E35-F35-G35</f>
        <v>25.311</v>
      </c>
      <c r="E35" s="20">
        <v>15.804</v>
      </c>
      <c r="F35" s="20">
        <v>20.164999999999999</v>
      </c>
      <c r="G35" s="20">
        <v>13.856999999999999</v>
      </c>
      <c r="H35" s="20">
        <v>47.787000000000006</v>
      </c>
      <c r="I35" s="20">
        <v>-5.5510000000000002</v>
      </c>
      <c r="J35" s="20">
        <v>17.602</v>
      </c>
      <c r="K35" s="20">
        <v>19.466999999999999</v>
      </c>
      <c r="L35" s="20">
        <v>4.768000000000022</v>
      </c>
      <c r="M35" s="20">
        <v>11.912000000000001</v>
      </c>
    </row>
    <row r="36" spans="1:13" s="11" customFormat="1" x14ac:dyDescent="0.2">
      <c r="A36" s="19" t="s">
        <v>16</v>
      </c>
      <c r="B36" s="21">
        <v>-12.661</v>
      </c>
      <c r="C36" s="21">
        <f>-13.84-6.487</f>
        <v>-20.326999999999998</v>
      </c>
      <c r="D36" s="21">
        <f>-75.654-28.964-E36-F36-G36</f>
        <v>-27.888000000000002</v>
      </c>
      <c r="E36" s="21">
        <f>-7.5-25.6</f>
        <v>-33.1</v>
      </c>
      <c r="F36" s="21">
        <v>-20.53</v>
      </c>
      <c r="G36" s="21">
        <f>-4.2-18.9</f>
        <v>-23.099999999999998</v>
      </c>
      <c r="H36" s="21">
        <f>-3.8-14.1</f>
        <v>-17.899999999999999</v>
      </c>
      <c r="I36" s="21">
        <f>-2.6-4.9</f>
        <v>-7.5</v>
      </c>
      <c r="J36" s="21">
        <f>-3.5-12.9</f>
        <v>-16.399999999999999</v>
      </c>
      <c r="K36" s="21">
        <f>-3.3-24.8</f>
        <v>-28.1</v>
      </c>
      <c r="L36" s="21">
        <f>-7.5-5.2</f>
        <v>-12.7</v>
      </c>
      <c r="M36" s="21">
        <f>-2.9-11</f>
        <v>-13.9</v>
      </c>
    </row>
    <row r="37" spans="1:13" s="20" customFormat="1" x14ac:dyDescent="0.2">
      <c r="A37" s="20" t="s">
        <v>15</v>
      </c>
      <c r="B37" s="20">
        <f t="shared" ref="B37:M37" si="7">+B35+B36</f>
        <v>-10.815</v>
      </c>
      <c r="C37" s="20">
        <f t="shared" si="7"/>
        <v>-18.795999999999999</v>
      </c>
      <c r="D37" s="20">
        <f t="shared" si="7"/>
        <v>-2.5770000000000017</v>
      </c>
      <c r="E37" s="20">
        <f t="shared" si="7"/>
        <v>-17.295999999999999</v>
      </c>
      <c r="F37" s="20">
        <f t="shared" si="7"/>
        <v>-0.36500000000000199</v>
      </c>
      <c r="G37" s="20">
        <f t="shared" si="7"/>
        <v>-9.2429999999999986</v>
      </c>
      <c r="H37" s="20">
        <f t="shared" si="7"/>
        <v>29.887000000000008</v>
      </c>
      <c r="I37" s="20">
        <f t="shared" si="7"/>
        <v>-13.051</v>
      </c>
      <c r="J37" s="20">
        <f t="shared" si="7"/>
        <v>1.2020000000000017</v>
      </c>
      <c r="K37" s="20">
        <f t="shared" si="7"/>
        <v>-8.6330000000000027</v>
      </c>
      <c r="L37" s="20">
        <f t="shared" si="7"/>
        <v>-7.9319999999999773</v>
      </c>
      <c r="M37" s="20">
        <f t="shared" si="7"/>
        <v>-1.9879999999999995</v>
      </c>
    </row>
    <row r="39" spans="1:13" s="16" customFormat="1" x14ac:dyDescent="0.2">
      <c r="A39" s="18" t="s">
        <v>14</v>
      </c>
      <c r="B39" s="19">
        <v>0</v>
      </c>
      <c r="C39" s="19">
        <v>0</v>
      </c>
      <c r="D39" s="19">
        <v>0</v>
      </c>
      <c r="E39" s="19">
        <v>0</v>
      </c>
      <c r="F39" s="19">
        <v>0</v>
      </c>
      <c r="G39" s="19">
        <v>0</v>
      </c>
      <c r="H39" s="19">
        <v>0</v>
      </c>
      <c r="I39" s="19">
        <v>0</v>
      </c>
      <c r="J39" s="19">
        <v>0</v>
      </c>
      <c r="K39" s="19"/>
      <c r="L39" s="19"/>
      <c r="M39" s="19"/>
    </row>
    <row r="40" spans="1:13" s="16" customFormat="1" x14ac:dyDescent="0.2">
      <c r="A40" s="18" t="s">
        <v>13</v>
      </c>
      <c r="B40" s="19">
        <f>702+8</f>
        <v>710</v>
      </c>
      <c r="C40" s="19">
        <v>704</v>
      </c>
      <c r="D40" s="19">
        <v>705.34299999999996</v>
      </c>
      <c r="E40" s="19">
        <f>707+12</f>
        <v>719</v>
      </c>
      <c r="F40" s="19">
        <f>655.2+F44</f>
        <v>721.2</v>
      </c>
      <c r="G40" s="19">
        <f>591.9+G44</f>
        <v>636.38099999999997</v>
      </c>
      <c r="H40" s="19">
        <f>587.5+H44</f>
        <v>636.9</v>
      </c>
      <c r="I40" s="19">
        <v>629</v>
      </c>
      <c r="J40" s="19">
        <v>630</v>
      </c>
      <c r="K40" s="19"/>
      <c r="L40" s="19"/>
      <c r="M40" s="19"/>
    </row>
    <row r="41" spans="1:13" s="16" customFormat="1" x14ac:dyDescent="0.2">
      <c r="A41" s="18" t="s">
        <v>12</v>
      </c>
      <c r="B41" s="19">
        <f>B39+B40+150</f>
        <v>860</v>
      </c>
      <c r="C41" s="19">
        <f>C39+C40+150+1</f>
        <v>855</v>
      </c>
      <c r="D41" s="19">
        <f>D39+D40+150+0.6</f>
        <v>855.94299999999998</v>
      </c>
      <c r="E41" s="19">
        <f>E39+E40+150</f>
        <v>869</v>
      </c>
      <c r="F41" s="19">
        <f>805.2+F44</f>
        <v>871.2</v>
      </c>
      <c r="G41" s="19">
        <f>741.9+G44</f>
        <v>786.38099999999997</v>
      </c>
      <c r="H41" s="19">
        <f>737.5+H44</f>
        <v>786.9</v>
      </c>
      <c r="I41" s="19">
        <f>I39+I40+150+7</f>
        <v>786</v>
      </c>
      <c r="J41" s="19">
        <f>J39+J40+150+1</f>
        <v>781</v>
      </c>
      <c r="K41" s="19"/>
      <c r="L41" s="19"/>
      <c r="M41" s="19"/>
    </row>
    <row r="42" spans="1:13" s="16" customFormat="1" x14ac:dyDescent="0.2">
      <c r="A42" s="18" t="s">
        <v>11</v>
      </c>
      <c r="B42" s="17">
        <v>707</v>
      </c>
      <c r="C42" s="17">
        <v>707</v>
      </c>
      <c r="D42" s="17">
        <v>707</v>
      </c>
      <c r="E42" s="17">
        <v>707</v>
      </c>
      <c r="F42" s="17">
        <v>707</v>
      </c>
      <c r="G42" s="17">
        <v>707</v>
      </c>
      <c r="H42" s="17">
        <v>707</v>
      </c>
      <c r="I42" s="17">
        <v>707</v>
      </c>
      <c r="J42" s="17">
        <v>707</v>
      </c>
      <c r="K42" s="17"/>
      <c r="L42" s="17"/>
      <c r="M42" s="17"/>
    </row>
    <row r="43" spans="1:13" x14ac:dyDescent="0.2">
      <c r="B43" s="16"/>
      <c r="C43" s="16"/>
      <c r="D43" s="16"/>
      <c r="E43" s="16"/>
      <c r="F43" s="16"/>
      <c r="G43" s="16"/>
      <c r="H43" s="16"/>
    </row>
    <row r="44" spans="1:13" x14ac:dyDescent="0.2">
      <c r="A44" s="15" t="s">
        <v>10</v>
      </c>
      <c r="B44" s="14">
        <v>30.221</v>
      </c>
      <c r="C44" s="14">
        <v>121.657</v>
      </c>
      <c r="D44" s="14">
        <v>141.97499999999999</v>
      </c>
      <c r="E44" s="14">
        <v>48.001999999999995</v>
      </c>
      <c r="F44" s="14">
        <v>66</v>
      </c>
      <c r="G44" s="14">
        <v>44.481000000000002</v>
      </c>
      <c r="H44" s="14">
        <v>49.4</v>
      </c>
      <c r="I44" s="14">
        <v>17</v>
      </c>
      <c r="J44" s="14">
        <v>26</v>
      </c>
      <c r="K44" s="14"/>
      <c r="L44" s="14"/>
      <c r="M44" s="14"/>
    </row>
    <row r="46" spans="1:13" x14ac:dyDescent="0.2">
      <c r="A46" s="1" t="s">
        <v>9</v>
      </c>
      <c r="B46" s="11">
        <f t="shared" ref="B46:J46" si="8">SUM(B12:E12)</f>
        <v>862.31600000000003</v>
      </c>
      <c r="C46" s="11">
        <f t="shared" si="8"/>
        <v>848.65900000000011</v>
      </c>
      <c r="D46" s="11">
        <f t="shared" si="8"/>
        <v>859.37</v>
      </c>
      <c r="E46" s="11">
        <f t="shared" si="8"/>
        <v>841.16099999999983</v>
      </c>
      <c r="F46" s="11">
        <f t="shared" si="8"/>
        <v>809.71199999999999</v>
      </c>
      <c r="G46" s="11">
        <f t="shared" si="8"/>
        <v>794.52199999999993</v>
      </c>
      <c r="H46" s="11">
        <f t="shared" si="8"/>
        <v>765.67</v>
      </c>
      <c r="I46" s="11">
        <f t="shared" si="8"/>
        <v>724.81600000000003</v>
      </c>
      <c r="J46" s="11">
        <f t="shared" si="8"/>
        <v>701.84399999999994</v>
      </c>
    </row>
    <row r="47" spans="1:13" x14ac:dyDescent="0.2">
      <c r="A47" s="1" t="s">
        <v>8</v>
      </c>
      <c r="B47" s="11">
        <f t="shared" ref="B47" si="9">+B27</f>
        <v>163.523</v>
      </c>
      <c r="C47" s="11">
        <f t="shared" ref="C47:J47" si="10">+C27</f>
        <v>147</v>
      </c>
      <c r="D47" s="11">
        <f t="shared" si="10"/>
        <v>170.33199999999999</v>
      </c>
      <c r="E47" s="11">
        <f t="shared" si="10"/>
        <v>180</v>
      </c>
      <c r="F47" s="11">
        <f t="shared" si="10"/>
        <v>180</v>
      </c>
      <c r="G47" s="11">
        <f t="shared" si="10"/>
        <v>185</v>
      </c>
      <c r="H47" s="11">
        <f t="shared" si="10"/>
        <v>182.36200000000002</v>
      </c>
      <c r="I47" s="11">
        <f t="shared" si="10"/>
        <v>183.816</v>
      </c>
      <c r="J47" s="11">
        <f t="shared" si="10"/>
        <v>174.798</v>
      </c>
    </row>
    <row r="48" spans="1:13" x14ac:dyDescent="0.2">
      <c r="A48" s="1" t="s">
        <v>7</v>
      </c>
      <c r="B48" s="11">
        <f t="shared" ref="B48:J48" si="11">+SUM(B37:E37)</f>
        <v>-49.484000000000002</v>
      </c>
      <c r="C48" s="11">
        <f t="shared" si="11"/>
        <v>-39.033999999999999</v>
      </c>
      <c r="D48" s="11">
        <f t="shared" si="11"/>
        <v>-29.481000000000002</v>
      </c>
      <c r="E48" s="11">
        <f t="shared" si="11"/>
        <v>2.9830000000000076</v>
      </c>
      <c r="F48" s="11">
        <f t="shared" si="11"/>
        <v>7.2280000000000069</v>
      </c>
      <c r="G48" s="11">
        <f t="shared" si="11"/>
        <v>8.7950000000000106</v>
      </c>
      <c r="H48" s="11">
        <f t="shared" si="11"/>
        <v>9.4050000000000047</v>
      </c>
      <c r="I48" s="11">
        <f t="shared" si="11"/>
        <v>-28.413999999999977</v>
      </c>
      <c r="J48" s="11">
        <f t="shared" si="11"/>
        <v>-17.350999999999978</v>
      </c>
    </row>
    <row r="50" spans="1:13" s="10" customFormat="1" x14ac:dyDescent="0.2">
      <c r="A50" s="10" t="s">
        <v>6</v>
      </c>
      <c r="B50" s="10">
        <f t="shared" ref="B50" si="12">+SUM(B39:B40)/B47</f>
        <v>4.3418968585458924</v>
      </c>
      <c r="C50" s="10">
        <f t="shared" ref="C50:J50" si="13">+SUM(C39:C40)/C47</f>
        <v>4.7891156462585034</v>
      </c>
      <c r="D50" s="10">
        <f t="shared" si="13"/>
        <v>4.1409893619519522</v>
      </c>
      <c r="E50" s="10">
        <f t="shared" si="13"/>
        <v>3.9944444444444445</v>
      </c>
      <c r="F50" s="10">
        <f t="shared" si="13"/>
        <v>4.0066666666666668</v>
      </c>
      <c r="G50" s="10">
        <f t="shared" si="13"/>
        <v>3.4398972972972972</v>
      </c>
      <c r="H50" s="10">
        <f t="shared" si="13"/>
        <v>3.4925039207729673</v>
      </c>
      <c r="I50" s="10">
        <f t="shared" si="13"/>
        <v>3.4219001610305959</v>
      </c>
      <c r="J50" s="10">
        <f t="shared" si="13"/>
        <v>3.6041602306662548</v>
      </c>
    </row>
    <row r="51" spans="1:13" s="10" customFormat="1" x14ac:dyDescent="0.2">
      <c r="A51" s="10" t="s">
        <v>5</v>
      </c>
      <c r="B51" s="10">
        <f t="shared" ref="B51" si="14">+B41/B47</f>
        <v>5.2591990117598133</v>
      </c>
      <c r="C51" s="10">
        <f t="shared" ref="C51:J51" si="15">+C41/C47</f>
        <v>5.8163265306122449</v>
      </c>
      <c r="D51" s="10">
        <f t="shared" si="15"/>
        <v>5.025145010919851</v>
      </c>
      <c r="E51" s="10">
        <f t="shared" si="15"/>
        <v>4.8277777777777775</v>
      </c>
      <c r="F51" s="10">
        <f t="shared" si="15"/>
        <v>4.84</v>
      </c>
      <c r="G51" s="10">
        <f t="shared" si="15"/>
        <v>4.2507081081081077</v>
      </c>
      <c r="H51" s="10">
        <f t="shared" si="15"/>
        <v>4.3150437042804963</v>
      </c>
      <c r="I51" s="10">
        <f t="shared" si="15"/>
        <v>4.276015145580363</v>
      </c>
      <c r="J51" s="10">
        <f t="shared" si="15"/>
        <v>4.468014508175151</v>
      </c>
    </row>
    <row r="52" spans="1:13" s="10" customFormat="1" x14ac:dyDescent="0.2">
      <c r="A52" s="10" t="s">
        <v>4</v>
      </c>
      <c r="B52" s="10">
        <f t="shared" ref="B52" si="16">+(B41-B44)/B47</f>
        <v>5.0743870892779608</v>
      </c>
      <c r="C52" s="10">
        <f t="shared" ref="C52:J52" si="17">+(C41-C44)/C47</f>
        <v>4.9887278911564623</v>
      </c>
      <c r="D52" s="10">
        <f t="shared" si="17"/>
        <v>4.1916257661508114</v>
      </c>
      <c r="E52" s="10">
        <f t="shared" si="17"/>
        <v>4.5611000000000006</v>
      </c>
      <c r="F52" s="10">
        <f t="shared" si="17"/>
        <v>4.4733333333333336</v>
      </c>
      <c r="G52" s="10">
        <f t="shared" si="17"/>
        <v>4.0102702702702704</v>
      </c>
      <c r="H52" s="10">
        <f t="shared" si="17"/>
        <v>4.0441539355786835</v>
      </c>
      <c r="I52" s="10">
        <f t="shared" si="17"/>
        <v>4.1835313574444006</v>
      </c>
      <c r="J52" s="10">
        <f t="shared" si="17"/>
        <v>4.3192713875444797</v>
      </c>
    </row>
    <row r="53" spans="1:13" s="6" customFormat="1" x14ac:dyDescent="0.2">
      <c r="A53" s="6" t="s">
        <v>3</v>
      </c>
      <c r="B53" s="6">
        <f t="shared" ref="B53" si="18">+B48/B41</f>
        <v>-5.7539534883720933E-2</v>
      </c>
      <c r="C53" s="6">
        <f t="shared" ref="C53:J53" si="19">+C48/C41</f>
        <v>-4.5653801169590641E-2</v>
      </c>
      <c r="D53" s="6">
        <f t="shared" si="19"/>
        <v>-3.4442714059230585E-2</v>
      </c>
      <c r="E53" s="6">
        <f t="shared" si="19"/>
        <v>3.4326812428078341E-3</v>
      </c>
      <c r="F53" s="6">
        <f t="shared" si="19"/>
        <v>8.2966023875114866E-3</v>
      </c>
      <c r="G53" s="6">
        <f t="shared" si="19"/>
        <v>1.1184146107294062E-2</v>
      </c>
      <c r="H53" s="6">
        <f t="shared" si="19"/>
        <v>1.1951963400686244E-2</v>
      </c>
      <c r="I53" s="6">
        <f t="shared" si="19"/>
        <v>-3.6150127226463075E-2</v>
      </c>
      <c r="J53" s="6">
        <f t="shared" si="19"/>
        <v>-2.2216389244558231E-2</v>
      </c>
    </row>
    <row r="54" spans="1:13" s="6" customFormat="1" x14ac:dyDescent="0.2">
      <c r="A54" s="8" t="s">
        <v>2</v>
      </c>
      <c r="B54" s="9"/>
      <c r="C54" s="9"/>
      <c r="D54" s="9"/>
      <c r="E54" s="9"/>
      <c r="F54" s="9"/>
      <c r="G54" s="9"/>
      <c r="H54" s="9"/>
      <c r="I54" s="9"/>
      <c r="J54" s="9"/>
      <c r="K54" s="8"/>
      <c r="L54" s="8"/>
      <c r="M54" s="8"/>
    </row>
    <row r="55" spans="1:13" s="6" customFormat="1" x14ac:dyDescent="0.2">
      <c r="A55" s="6" t="s">
        <v>1</v>
      </c>
      <c r="B55" s="7">
        <f t="shared" ref="B55" si="20">IF(B42=0,IF(B54="","","*"&amp;TEXT(B54,"0.0x")),(B41+B42-B44)/B47)</f>
        <v>9.3979379047595746</v>
      </c>
      <c r="C55" s="7">
        <f t="shared" ref="C55:J55" si="21">IF(C42=0,IF(C54="","","*"&amp;TEXT(C54,"0.0x")),(C41+C42-C44)/C47)</f>
        <v>9.7982517006802734</v>
      </c>
      <c r="D55" s="7">
        <f t="shared" si="21"/>
        <v>8.3423431885963897</v>
      </c>
      <c r="E55" s="7">
        <f t="shared" si="21"/>
        <v>8.4888777777777786</v>
      </c>
      <c r="F55" s="7">
        <f t="shared" si="21"/>
        <v>8.4011111111111116</v>
      </c>
      <c r="G55" s="7">
        <f t="shared" si="21"/>
        <v>7.8318918918918907</v>
      </c>
      <c r="H55" s="7">
        <f t="shared" si="21"/>
        <v>7.9210581151775035</v>
      </c>
      <c r="I55" s="7">
        <f t="shared" si="21"/>
        <v>8.0297688993341172</v>
      </c>
      <c r="J55" s="7">
        <f t="shared" si="21"/>
        <v>8.3639400908477217</v>
      </c>
      <c r="K55" s="7" t="str">
        <f>IF(K42=0,IF(K54="","",CONCATENATE("* ",K54,"x")),(K41+K42-K44)/K47)</f>
        <v/>
      </c>
      <c r="L55" s="7" t="str">
        <f>IF(L42=0,IF(L54="","",CONCATENATE("* ",L54,"x")),(L41+L42-L44)/L47)</f>
        <v/>
      </c>
      <c r="M55" s="7" t="str">
        <f>IF(M42=0,IF(M54="","",CONCATENATE("* ",M54,"x")),(M41+M42-M44)/M47)</f>
        <v/>
      </c>
    </row>
    <row r="56" spans="1:13" x14ac:dyDescent="0.2">
      <c r="J56" s="3"/>
    </row>
    <row r="57" spans="1:13" ht="80.25" customHeight="1" x14ac:dyDescent="0.2">
      <c r="A57" s="5" t="s">
        <v>0</v>
      </c>
      <c r="B57" s="4"/>
      <c r="C57" s="4"/>
      <c r="D57" s="4"/>
      <c r="E57" s="4"/>
      <c r="F57" s="4"/>
      <c r="G57" s="4"/>
      <c r="H57" s="4"/>
      <c r="I57" s="4"/>
      <c r="J57" s="4"/>
      <c r="K57" s="4"/>
      <c r="L57" s="4"/>
      <c r="M57" s="4"/>
    </row>
    <row r="58" spans="1:13" x14ac:dyDescent="0.2">
      <c r="A58" s="2"/>
    </row>
    <row r="59" spans="1:13" x14ac:dyDescent="0.2">
      <c r="A59" s="2"/>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0" width="10.7109375" style="1" customWidth="1"/>
    <col min="21" max="16384" width="9.140625" style="1"/>
  </cols>
  <sheetData>
    <row r="1" spans="1:20" x14ac:dyDescent="0.2">
      <c r="T1" s="1" t="s">
        <v>110</v>
      </c>
    </row>
    <row r="2" spans="1:20" x14ac:dyDescent="0.2">
      <c r="A2" s="34" t="s">
        <v>45</v>
      </c>
      <c r="B2" s="1" t="s">
        <v>73</v>
      </c>
    </row>
    <row r="3" spans="1:20" s="35" customFormat="1" x14ac:dyDescent="0.2">
      <c r="A3" s="36" t="s">
        <v>43</v>
      </c>
      <c r="B3" s="35" t="s">
        <v>109</v>
      </c>
    </row>
    <row r="4" spans="1:20" x14ac:dyDescent="0.2">
      <c r="A4" s="34" t="s">
        <v>41</v>
      </c>
      <c r="B4" s="1" t="s">
        <v>40</v>
      </c>
    </row>
    <row r="5" spans="1:20" x14ac:dyDescent="0.2">
      <c r="A5" s="34" t="s">
        <v>39</v>
      </c>
    </row>
    <row r="6" spans="1:20" x14ac:dyDescent="0.2">
      <c r="A6" s="34" t="s">
        <v>38</v>
      </c>
      <c r="B6" s="1">
        <v>3</v>
      </c>
    </row>
    <row r="7" spans="1:20" x14ac:dyDescent="0.2">
      <c r="A7" s="34" t="s">
        <v>37</v>
      </c>
      <c r="B7" s="1" t="s">
        <v>384</v>
      </c>
    </row>
    <row r="8" spans="1:20" x14ac:dyDescent="0.2">
      <c r="A8" s="34" t="s">
        <v>281</v>
      </c>
      <c r="B8" s="1" t="s">
        <v>316</v>
      </c>
    </row>
    <row r="9" spans="1:20" x14ac:dyDescent="0.2">
      <c r="A9" s="22"/>
    </row>
    <row r="10" spans="1:20" x14ac:dyDescent="0.2">
      <c r="A10" s="22" t="s">
        <v>36</v>
      </c>
      <c r="B10" s="33">
        <v>44255</v>
      </c>
      <c r="C10" s="33">
        <v>44165</v>
      </c>
      <c r="D10" s="33">
        <v>44074</v>
      </c>
      <c r="E10" s="33">
        <v>43982</v>
      </c>
      <c r="F10" s="33">
        <v>43889</v>
      </c>
      <c r="G10" s="33">
        <v>43799</v>
      </c>
      <c r="H10" s="33">
        <v>43708</v>
      </c>
      <c r="I10" s="33">
        <v>43616</v>
      </c>
      <c r="J10" s="33">
        <v>43524</v>
      </c>
      <c r="K10" s="33">
        <v>43434</v>
      </c>
      <c r="L10" s="33">
        <v>43343</v>
      </c>
      <c r="M10" s="33">
        <v>43251</v>
      </c>
      <c r="N10" s="33">
        <v>43159</v>
      </c>
      <c r="O10" s="33">
        <v>43069</v>
      </c>
      <c r="P10" s="33">
        <v>42978</v>
      </c>
      <c r="Q10" s="33">
        <v>42886</v>
      </c>
      <c r="R10" s="33">
        <f t="shared" ref="R10:S10" si="0">EOMONTH(Q10,-3)</f>
        <v>42794</v>
      </c>
      <c r="S10" s="33">
        <f t="shared" si="0"/>
        <v>42704</v>
      </c>
      <c r="T10" s="33"/>
    </row>
    <row r="12" spans="1:20" x14ac:dyDescent="0.2">
      <c r="A12" s="15" t="s">
        <v>35</v>
      </c>
      <c r="B12" s="19">
        <v>139.37600000000003</v>
      </c>
      <c r="C12" s="19">
        <v>192.03699999999998</v>
      </c>
      <c r="D12" s="19">
        <v>166.91899999999998</v>
      </c>
      <c r="E12" s="19">
        <v>164.67599999999999</v>
      </c>
      <c r="F12" s="19">
        <v>142.98799999999997</v>
      </c>
      <c r="G12" s="19">
        <v>176.64699999999999</v>
      </c>
      <c r="H12" s="19">
        <v>156.81200000000001</v>
      </c>
      <c r="I12" s="19">
        <v>147.44800000000001</v>
      </c>
      <c r="J12" s="19">
        <v>136.5200000000001</v>
      </c>
      <c r="K12" s="19">
        <v>165.90099999999998</v>
      </c>
      <c r="L12" s="19">
        <v>158.28700000000001</v>
      </c>
      <c r="M12" s="19">
        <v>146.011</v>
      </c>
      <c r="N12" s="19">
        <f>620.01-Q12-P12-O12</f>
        <v>143.88399999999999</v>
      </c>
      <c r="O12" s="19">
        <v>169.29</v>
      </c>
      <c r="P12" s="19">
        <v>159.62700000000001</v>
      </c>
      <c r="Q12" s="19">
        <v>147.209</v>
      </c>
      <c r="R12" s="19"/>
      <c r="S12" s="19"/>
      <c r="T12" s="19"/>
    </row>
    <row r="13" spans="1:20" s="28" customFormat="1" x14ac:dyDescent="0.2">
      <c r="A13" s="28" t="s">
        <v>34</v>
      </c>
      <c r="B13" s="28">
        <f t="shared" ref="B13:M13" si="1">+B12/F12-1</f>
        <v>-2.5260861051276562E-2</v>
      </c>
      <c r="C13" s="28">
        <f t="shared" si="1"/>
        <v>8.7122906134833755E-2</v>
      </c>
      <c r="D13" s="28">
        <f t="shared" si="1"/>
        <v>6.4452975537586221E-2</v>
      </c>
      <c r="E13" s="28">
        <f t="shared" si="1"/>
        <v>0.11684119147089134</v>
      </c>
      <c r="F13" s="28">
        <f t="shared" si="1"/>
        <v>4.7377673600936587E-2</v>
      </c>
      <c r="G13" s="28">
        <f t="shared" si="1"/>
        <v>6.4773569779567497E-2</v>
      </c>
      <c r="H13" s="28">
        <f t="shared" si="1"/>
        <v>-9.3185163658418002E-3</v>
      </c>
      <c r="I13" s="28">
        <f t="shared" si="1"/>
        <v>9.841724253652151E-3</v>
      </c>
      <c r="J13" s="28">
        <f t="shared" si="1"/>
        <v>-5.1180117316726559E-2</v>
      </c>
      <c r="K13" s="28">
        <f t="shared" si="1"/>
        <v>-2.0018902475042899E-2</v>
      </c>
      <c r="L13" s="28">
        <f t="shared" si="1"/>
        <v>-8.394569840941668E-3</v>
      </c>
      <c r="M13" s="28">
        <f t="shared" si="1"/>
        <v>-8.1380893831219936E-3</v>
      </c>
    </row>
    <row r="14" spans="1:20"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c r="O14" s="32"/>
      <c r="P14" s="32"/>
      <c r="Q14" s="32"/>
      <c r="R14" s="32"/>
      <c r="S14" s="32"/>
      <c r="T14" s="31"/>
    </row>
    <row r="16" spans="1:20" s="22" customFormat="1" x14ac:dyDescent="0.2">
      <c r="A16" s="30" t="s">
        <v>31</v>
      </c>
      <c r="B16" s="29">
        <v>14.899999999999956</v>
      </c>
      <c r="C16" s="29">
        <v>39.799999999999997</v>
      </c>
      <c r="D16" s="29">
        <v>39.200000000000003</v>
      </c>
      <c r="E16" s="29">
        <v>38.299999999999997</v>
      </c>
      <c r="F16" s="29">
        <v>31.099999999999987</v>
      </c>
      <c r="G16" s="29">
        <v>35.9</v>
      </c>
      <c r="H16" s="29">
        <v>30</v>
      </c>
      <c r="I16" s="29">
        <v>24.5</v>
      </c>
      <c r="J16" s="29">
        <v>23.422198999999992</v>
      </c>
      <c r="K16" s="29">
        <v>29.974585000000001</v>
      </c>
      <c r="L16" s="29">
        <v>33.842216000000001</v>
      </c>
      <c r="M16" s="29">
        <v>24.960999999999999</v>
      </c>
      <c r="N16" s="29">
        <v>19.849</v>
      </c>
      <c r="O16" s="29">
        <v>27.372816</v>
      </c>
      <c r="P16" s="29">
        <v>35.499754000000003</v>
      </c>
      <c r="Q16" s="29">
        <f>-10.3+7.1+3.6+19.2-1.9+6.9</f>
        <v>24.6</v>
      </c>
      <c r="R16" s="29">
        <v>21.882871999999999</v>
      </c>
      <c r="S16" s="29">
        <v>25.22861</v>
      </c>
      <c r="T16" s="29"/>
    </row>
    <row r="17" spans="1:20" s="28" customFormat="1" x14ac:dyDescent="0.2">
      <c r="A17" s="28" t="s">
        <v>30</v>
      </c>
      <c r="B17" s="28">
        <f t="shared" ref="B17" si="2">+B16/B12</f>
        <v>0.10690506256457319</v>
      </c>
      <c r="C17" s="28">
        <f t="shared" ref="C17:D17" si="3">+C16/C12</f>
        <v>0.20725172753167359</v>
      </c>
      <c r="D17" s="28">
        <f t="shared" si="3"/>
        <v>0.23484444550949865</v>
      </c>
      <c r="E17" s="28">
        <f t="shared" ref="E17:F17" si="4">+E16/E12</f>
        <v>0.23257791056377372</v>
      </c>
      <c r="F17" s="28">
        <f t="shared" si="4"/>
        <v>0.21750076929532544</v>
      </c>
      <c r="G17" s="28">
        <f t="shared" ref="G17:H17" si="5">+G16/G12</f>
        <v>0.20323017090581783</v>
      </c>
      <c r="H17" s="28">
        <f t="shared" si="5"/>
        <v>0.19131188939621965</v>
      </c>
      <c r="I17" s="28">
        <f t="shared" ref="I17:J17" si="6">+I16/I12</f>
        <v>0.16616027345233572</v>
      </c>
      <c r="J17" s="28">
        <f t="shared" si="6"/>
        <v>0.17156606358042759</v>
      </c>
      <c r="K17" s="28">
        <f t="shared" ref="K17:Q17" si="7">+K16/K12</f>
        <v>0.18067754263084612</v>
      </c>
      <c r="L17" s="28">
        <f t="shared" si="7"/>
        <v>0.21380287705244272</v>
      </c>
      <c r="M17" s="28">
        <f t="shared" si="7"/>
        <v>0.1709528734136469</v>
      </c>
      <c r="N17" s="28">
        <f t="shared" si="7"/>
        <v>0.13795140529871286</v>
      </c>
      <c r="O17" s="28">
        <f t="shared" si="7"/>
        <v>0.16169186602870814</v>
      </c>
      <c r="P17" s="28">
        <f t="shared" si="7"/>
        <v>0.22239191364869351</v>
      </c>
      <c r="Q17" s="28">
        <f t="shared" si="7"/>
        <v>0.16710934793388993</v>
      </c>
    </row>
    <row r="18" spans="1:20" s="23" customFormat="1" x14ac:dyDescent="0.2"/>
    <row r="19" spans="1:20"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row>
    <row r="20" spans="1:20"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row>
    <row r="21" spans="1:20"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f>0.2+2.9+4.4-1.3-5.7</f>
        <v>0.5</v>
      </c>
      <c r="R21" s="19">
        <f>0.2+2.9+4.4-1.3-5.7</f>
        <v>0.5</v>
      </c>
      <c r="S21" s="19">
        <f>0.2+2.9+4.4-1.3-5.7</f>
        <v>0.5</v>
      </c>
      <c r="T21" s="19"/>
    </row>
    <row r="22" spans="1:20" s="22" customFormat="1" x14ac:dyDescent="0.2">
      <c r="A22" s="22" t="s">
        <v>23</v>
      </c>
      <c r="B22" s="20">
        <f t="shared" ref="B22" si="8">SUM(B16,B19:B21)</f>
        <v>14.899999999999956</v>
      </c>
      <c r="C22" s="20">
        <f t="shared" ref="C22:D22" si="9">SUM(C16,C19:C21)</f>
        <v>39.799999999999997</v>
      </c>
      <c r="D22" s="20">
        <f t="shared" si="9"/>
        <v>39.200000000000003</v>
      </c>
      <c r="E22" s="20">
        <f t="shared" ref="E22:F22" si="10">SUM(E16,E19:E21)</f>
        <v>38.299999999999997</v>
      </c>
      <c r="F22" s="20">
        <f t="shared" si="10"/>
        <v>31.099999999999987</v>
      </c>
      <c r="G22" s="20">
        <f t="shared" ref="G22:H22" si="11">SUM(G16,G19:G21)</f>
        <v>35.9</v>
      </c>
      <c r="H22" s="20">
        <f t="shared" si="11"/>
        <v>30</v>
      </c>
      <c r="I22" s="20">
        <f t="shared" ref="I22:J22" si="12">SUM(I16,I19:I21)</f>
        <v>24.5</v>
      </c>
      <c r="J22" s="20">
        <f t="shared" si="12"/>
        <v>23.422198999999992</v>
      </c>
      <c r="K22" s="20">
        <f t="shared" ref="K22:S22" si="13">SUM(K16,K19:K21)</f>
        <v>29.974585000000001</v>
      </c>
      <c r="L22" s="20">
        <f t="shared" si="13"/>
        <v>33.842216000000001</v>
      </c>
      <c r="M22" s="20">
        <f t="shared" si="13"/>
        <v>24.960999999999999</v>
      </c>
      <c r="N22" s="20">
        <f t="shared" si="13"/>
        <v>19.849</v>
      </c>
      <c r="O22" s="20">
        <f t="shared" si="13"/>
        <v>27.372816</v>
      </c>
      <c r="P22" s="20">
        <f t="shared" si="13"/>
        <v>35.499754000000003</v>
      </c>
      <c r="Q22" s="20">
        <f t="shared" si="13"/>
        <v>25.1</v>
      </c>
      <c r="R22" s="20">
        <f t="shared" si="13"/>
        <v>22.382871999999999</v>
      </c>
      <c r="S22" s="20">
        <f t="shared" si="13"/>
        <v>25.72861</v>
      </c>
      <c r="T22" s="20"/>
    </row>
    <row r="23" spans="1:20" s="22" customFormat="1" x14ac:dyDescent="0.2">
      <c r="B23" s="28"/>
      <c r="C23" s="28"/>
      <c r="D23" s="28"/>
      <c r="E23" s="28"/>
      <c r="F23" s="28"/>
      <c r="G23" s="20"/>
      <c r="H23" s="20"/>
      <c r="I23" s="20"/>
      <c r="J23" s="20"/>
      <c r="K23" s="20"/>
      <c r="L23" s="20"/>
      <c r="M23" s="20"/>
      <c r="N23" s="20"/>
      <c r="O23" s="20"/>
      <c r="P23" s="20"/>
      <c r="Q23" s="20"/>
      <c r="R23" s="20"/>
      <c r="S23" s="20"/>
      <c r="T23" s="20"/>
    </row>
    <row r="24" spans="1:20" s="22" customFormat="1" x14ac:dyDescent="0.2">
      <c r="A24" s="22" t="s">
        <v>27</v>
      </c>
      <c r="B24" s="20">
        <f t="shared" ref="B24:P24" si="14">SUM(B22:E22)</f>
        <v>132.19999999999993</v>
      </c>
      <c r="C24" s="20">
        <f t="shared" si="14"/>
        <v>148.39999999999998</v>
      </c>
      <c r="D24" s="20">
        <f t="shared" si="14"/>
        <v>144.5</v>
      </c>
      <c r="E24" s="20">
        <f t="shared" si="14"/>
        <v>135.29999999999998</v>
      </c>
      <c r="F24" s="20">
        <f t="shared" si="14"/>
        <v>121.49999999999999</v>
      </c>
      <c r="G24" s="20">
        <f t="shared" si="14"/>
        <v>113.822199</v>
      </c>
      <c r="H24" s="20">
        <f t="shared" si="14"/>
        <v>107.896784</v>
      </c>
      <c r="I24" s="20">
        <f t="shared" si="14"/>
        <v>111.739</v>
      </c>
      <c r="J24" s="20">
        <f t="shared" si="14"/>
        <v>112.2</v>
      </c>
      <c r="K24" s="20">
        <f t="shared" si="14"/>
        <v>108.626801</v>
      </c>
      <c r="L24" s="20">
        <f t="shared" si="14"/>
        <v>106.025032</v>
      </c>
      <c r="M24" s="20">
        <f t="shared" si="14"/>
        <v>107.68257</v>
      </c>
      <c r="N24" s="20">
        <f t="shared" si="14"/>
        <v>107.82157000000001</v>
      </c>
      <c r="O24" s="20">
        <f t="shared" si="14"/>
        <v>110.35544200000001</v>
      </c>
      <c r="P24" s="20">
        <f t="shared" si="14"/>
        <v>108.71123600000001</v>
      </c>
      <c r="Q24" s="20"/>
      <c r="R24" s="20"/>
      <c r="S24" s="20"/>
      <c r="T24" s="20"/>
    </row>
    <row r="25" spans="1:20"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c r="R25" s="27"/>
      <c r="S25" s="27"/>
      <c r="T25" s="27"/>
    </row>
    <row r="26" spans="1:20"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c r="R26" s="21"/>
      <c r="S26" s="21"/>
      <c r="T26" s="26"/>
    </row>
    <row r="27" spans="1:20" s="24" customFormat="1" x14ac:dyDescent="0.2">
      <c r="A27" s="22" t="s">
        <v>24</v>
      </c>
      <c r="B27" s="20">
        <f t="shared" ref="B27" si="15">SUM(B24:B26)</f>
        <v>132.19999999999993</v>
      </c>
      <c r="C27" s="20">
        <f t="shared" ref="C27:D27" si="16">SUM(C24:C26)</f>
        <v>148.39999999999998</v>
      </c>
      <c r="D27" s="20">
        <f t="shared" si="16"/>
        <v>144.5</v>
      </c>
      <c r="E27" s="20">
        <f t="shared" ref="E27:F27" si="17">SUM(E24:E26)</f>
        <v>135.29999999999998</v>
      </c>
      <c r="F27" s="20">
        <f t="shared" si="17"/>
        <v>121.49999999999999</v>
      </c>
      <c r="G27" s="20">
        <f t="shared" ref="G27:H27" si="18">SUM(G24:G26)</f>
        <v>113.822199</v>
      </c>
      <c r="H27" s="20">
        <f t="shared" si="18"/>
        <v>107.896784</v>
      </c>
      <c r="I27" s="20">
        <f t="shared" ref="I27:J27" si="19">SUM(I24:I26)</f>
        <v>111.739</v>
      </c>
      <c r="J27" s="20">
        <f t="shared" si="19"/>
        <v>112.2</v>
      </c>
      <c r="K27" s="20">
        <f t="shared" ref="K27:P27" si="20">SUM(K24:K26)</f>
        <v>108.626801</v>
      </c>
      <c r="L27" s="20">
        <f t="shared" si="20"/>
        <v>106.025032</v>
      </c>
      <c r="M27" s="20">
        <f t="shared" si="20"/>
        <v>107.68257</v>
      </c>
      <c r="N27" s="20">
        <f t="shared" si="20"/>
        <v>107.82157000000001</v>
      </c>
      <c r="O27" s="20">
        <f t="shared" si="20"/>
        <v>110.35544200000001</v>
      </c>
      <c r="P27" s="20">
        <f t="shared" si="20"/>
        <v>108.71123600000001</v>
      </c>
      <c r="Q27" s="20"/>
      <c r="R27" s="20"/>
      <c r="S27" s="20"/>
      <c r="T27" s="25"/>
    </row>
    <row r="28" spans="1:20" s="23" customFormat="1" x14ac:dyDescent="0.2">
      <c r="B28" s="20"/>
      <c r="C28" s="20"/>
      <c r="D28" s="20"/>
      <c r="E28" s="20"/>
      <c r="F28" s="20"/>
    </row>
    <row r="29" spans="1:20" s="22" customFormat="1" x14ac:dyDescent="0.2">
      <c r="A29" s="22" t="s">
        <v>23</v>
      </c>
      <c r="B29" s="20">
        <f t="shared" ref="B29" si="21">B22</f>
        <v>14.899999999999956</v>
      </c>
      <c r="C29" s="20">
        <f t="shared" ref="C29:D29" si="22">C22</f>
        <v>39.799999999999997</v>
      </c>
      <c r="D29" s="20">
        <f t="shared" si="22"/>
        <v>39.200000000000003</v>
      </c>
      <c r="E29" s="20">
        <f t="shared" ref="E29:F29" si="23">E22</f>
        <v>38.299999999999997</v>
      </c>
      <c r="F29" s="20">
        <f t="shared" si="23"/>
        <v>31.099999999999987</v>
      </c>
      <c r="G29" s="20">
        <f t="shared" ref="G29:H29" si="24">G22</f>
        <v>35.9</v>
      </c>
      <c r="H29" s="20">
        <f t="shared" si="24"/>
        <v>30</v>
      </c>
      <c r="I29" s="20">
        <f t="shared" ref="I29:J29" si="25">I22</f>
        <v>24.5</v>
      </c>
      <c r="J29" s="20">
        <f t="shared" si="25"/>
        <v>23.422198999999992</v>
      </c>
      <c r="K29" s="20">
        <f t="shared" ref="K29:Q29" si="26">K22</f>
        <v>29.974585000000001</v>
      </c>
      <c r="L29" s="20">
        <f t="shared" si="26"/>
        <v>33.842216000000001</v>
      </c>
      <c r="M29" s="20">
        <f t="shared" si="26"/>
        <v>24.960999999999999</v>
      </c>
      <c r="N29" s="20">
        <f t="shared" si="26"/>
        <v>19.849</v>
      </c>
      <c r="O29" s="20">
        <f t="shared" si="26"/>
        <v>27.372816</v>
      </c>
      <c r="P29" s="20">
        <f t="shared" si="26"/>
        <v>35.499754000000003</v>
      </c>
      <c r="Q29" s="20">
        <f t="shared" si="26"/>
        <v>25.1</v>
      </c>
      <c r="R29" s="20"/>
      <c r="S29" s="20"/>
      <c r="T29" s="20"/>
    </row>
    <row r="30" spans="1:20" s="11" customFormat="1" x14ac:dyDescent="0.2">
      <c r="A30" s="19" t="s">
        <v>22</v>
      </c>
      <c r="B30" s="19">
        <v>-17.926000000000002</v>
      </c>
      <c r="C30" s="19">
        <v>-18.73</v>
      </c>
      <c r="D30" s="19">
        <v>-19.151</v>
      </c>
      <c r="E30" s="19">
        <v>-19.557000000000002</v>
      </c>
      <c r="F30" s="19">
        <v>-19.202999999999999</v>
      </c>
      <c r="G30" s="19">
        <v>-19.034000000000002</v>
      </c>
      <c r="H30" s="19">
        <v>-19.707000000000001</v>
      </c>
      <c r="I30" s="19">
        <v>-19.134</v>
      </c>
      <c r="J30" s="19">
        <v>-19.459999999999994</v>
      </c>
      <c r="K30" s="19">
        <v>-18.239999999999998</v>
      </c>
      <c r="L30" s="19">
        <v>-18.786999999999999</v>
      </c>
      <c r="M30" s="19">
        <v>-19.936</v>
      </c>
      <c r="N30" s="19">
        <v>-19.728999999999999</v>
      </c>
      <c r="O30" s="19">
        <v>-19.762</v>
      </c>
      <c r="P30" s="19">
        <v>-18.975000000000001</v>
      </c>
      <c r="Q30" s="19">
        <v>-19.238999999999997</v>
      </c>
      <c r="R30" s="19"/>
      <c r="S30" s="19"/>
      <c r="T30" s="19"/>
    </row>
    <row r="31" spans="1:20" s="11" customFormat="1" x14ac:dyDescent="0.2">
      <c r="A31" s="19" t="s">
        <v>21</v>
      </c>
      <c r="B31" s="19">
        <v>-0.17900000000000027</v>
      </c>
      <c r="C31" s="19">
        <v>-1.54</v>
      </c>
      <c r="D31" s="19">
        <v>-3.01</v>
      </c>
      <c r="E31" s="19">
        <v>-4.665</v>
      </c>
      <c r="F31" s="19">
        <v>1.5909999999999993</v>
      </c>
      <c r="G31" s="19">
        <v>-4.5999999999999996</v>
      </c>
      <c r="H31" s="19">
        <v>-2.2509999999999999</v>
      </c>
      <c r="I31" s="19">
        <v>-8.5999999999999993E-2</v>
      </c>
      <c r="J31" s="19">
        <v>2.9779999999999998</v>
      </c>
      <c r="K31" s="19">
        <v>-0.36099999999999999</v>
      </c>
      <c r="L31" s="19">
        <v>-2.5840000000000001</v>
      </c>
      <c r="M31" s="19">
        <v>2.4980000000000002</v>
      </c>
      <c r="N31" s="19">
        <v>-1.3300000000000005</v>
      </c>
      <c r="O31" s="19">
        <v>-4.9589999999999996</v>
      </c>
      <c r="P31" s="19">
        <v>2.2269999999999999</v>
      </c>
      <c r="Q31" s="19">
        <v>1.9359999999999999</v>
      </c>
      <c r="R31" s="19"/>
      <c r="S31" s="19"/>
      <c r="T31" s="19"/>
    </row>
    <row r="32" spans="1:20" s="11" customFormat="1" x14ac:dyDescent="0.2">
      <c r="A32" s="19" t="s">
        <v>20</v>
      </c>
      <c r="B32" s="19">
        <v>17.613999999999997</v>
      </c>
      <c r="C32" s="19">
        <v>-38.902000000000001</v>
      </c>
      <c r="D32" s="19">
        <v>17.679999999999996</v>
      </c>
      <c r="E32" s="19">
        <v>14.054000000000004</v>
      </c>
      <c r="F32" s="19">
        <v>20.019999999999996</v>
      </c>
      <c r="G32" s="19">
        <v>-20.353999999999999</v>
      </c>
      <c r="H32" s="19">
        <v>8.2810000000000006</v>
      </c>
      <c r="I32" s="19">
        <v>-10.503999999999996</v>
      </c>
      <c r="J32" s="19">
        <v>17.576000000000001</v>
      </c>
      <c r="K32" s="19">
        <v>-26.626000000000005</v>
      </c>
      <c r="L32" s="19">
        <v>19.500999999999998</v>
      </c>
      <c r="M32" s="19">
        <v>-15.099999999999996</v>
      </c>
      <c r="N32" s="19">
        <f>15.853-7.643+0.771+8.921+0.207-2.384+20.548-0.261-Q32-P32-O32</f>
        <v>37.339999999999996</v>
      </c>
      <c r="O32" s="19">
        <f>-13.347-5.612-1.245-3.208+0.235+1.66+9.152+7.713</f>
        <v>-4.6520000000000001</v>
      </c>
      <c r="P32" s="19">
        <f>-4.101+1.176-0.93-4.719+0.178-1.338+5.785-2.524</f>
        <v>-6.4729999999999981</v>
      </c>
      <c r="Q32" s="19">
        <f>3.619-24.481+0.385+23.863+0.923-1.551+0.061+6.978</f>
        <v>9.7969999999999988</v>
      </c>
      <c r="R32" s="19"/>
      <c r="S32" s="19"/>
      <c r="T32" s="19"/>
    </row>
    <row r="33" spans="1:20"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c r="S33" s="19"/>
      <c r="T33" s="19"/>
    </row>
    <row r="34" spans="1:20" s="11" customFormat="1" x14ac:dyDescent="0.2">
      <c r="A34" s="19" t="s">
        <v>18</v>
      </c>
      <c r="B34" s="21">
        <f t="shared" ref="B34:D34" si="27">B35-B29-B30-B31-B32-B33</f>
        <v>6.4760000000000417</v>
      </c>
      <c r="C34" s="21">
        <f t="shared" si="27"/>
        <v>-16.084999999999987</v>
      </c>
      <c r="D34" s="21">
        <f t="shared" si="27"/>
        <v>11.164000000000005</v>
      </c>
      <c r="E34" s="21">
        <f t="shared" ref="E34:F34" si="28">E35-E29-E30-E31-E32-E33</f>
        <v>12.843000000000002</v>
      </c>
      <c r="F34" s="21">
        <f t="shared" si="28"/>
        <v>-4.3289999999999811</v>
      </c>
      <c r="G34" s="21">
        <f t="shared" ref="G34:I34" si="29">G35-G29-G30-G31-G32-G33</f>
        <v>10.898000000000005</v>
      </c>
      <c r="H34" s="21">
        <f t="shared" si="29"/>
        <v>10.985000000000001</v>
      </c>
      <c r="I34" s="21">
        <f t="shared" si="29"/>
        <v>6.0889999999999951</v>
      </c>
      <c r="J34" s="21">
        <f t="shared" ref="J34:Q34" si="30">J35-J29-J30-J31-J32-J33</f>
        <v>0.88780100000000317</v>
      </c>
      <c r="K34" s="21">
        <f t="shared" si="30"/>
        <v>-0.53858499999999765</v>
      </c>
      <c r="L34" s="21">
        <f t="shared" si="30"/>
        <v>-4.021215999999999</v>
      </c>
      <c r="M34" s="21">
        <f t="shared" si="30"/>
        <v>-4.4670000000000005</v>
      </c>
      <c r="N34" s="21">
        <f t="shared" si="30"/>
        <v>4.892000000000003</v>
      </c>
      <c r="O34" s="21">
        <f t="shared" si="30"/>
        <v>0.38718400000000042</v>
      </c>
      <c r="P34" s="21">
        <f t="shared" si="30"/>
        <v>0.40924599999999867</v>
      </c>
      <c r="Q34" s="21">
        <f t="shared" si="30"/>
        <v>0.52399999999999558</v>
      </c>
      <c r="R34" s="21"/>
      <c r="S34" s="21"/>
      <c r="T34" s="21"/>
    </row>
    <row r="35" spans="1:20" s="20" customFormat="1" x14ac:dyDescent="0.2">
      <c r="A35" s="20" t="s">
        <v>17</v>
      </c>
      <c r="B35" s="20">
        <v>20.884999999999991</v>
      </c>
      <c r="C35" s="20">
        <v>-35.456999999999994</v>
      </c>
      <c r="D35" s="20">
        <v>45.883000000000003</v>
      </c>
      <c r="E35" s="20">
        <v>40.975000000000001</v>
      </c>
      <c r="F35" s="20">
        <v>29.179000000000002</v>
      </c>
      <c r="G35" s="20">
        <v>2.81</v>
      </c>
      <c r="H35" s="20">
        <v>27.308</v>
      </c>
      <c r="I35" s="20">
        <v>0.86499999999999999</v>
      </c>
      <c r="J35" s="20">
        <v>25.404</v>
      </c>
      <c r="K35" s="20">
        <v>-15.791</v>
      </c>
      <c r="L35" s="20">
        <v>27.951000000000001</v>
      </c>
      <c r="M35" s="20">
        <v>-12.044</v>
      </c>
      <c r="N35" s="20">
        <f>70.215-Q35-P35-O35</f>
        <v>41.022000000000006</v>
      </c>
      <c r="O35" s="20">
        <v>-1.613</v>
      </c>
      <c r="P35" s="20">
        <v>12.688000000000001</v>
      </c>
      <c r="Q35" s="20">
        <v>18.117999999999999</v>
      </c>
    </row>
    <row r="36" spans="1:20" s="11" customFormat="1" x14ac:dyDescent="0.2">
      <c r="A36" s="19" t="s">
        <v>16</v>
      </c>
      <c r="B36" s="21">
        <v>-4.1750000000000007</v>
      </c>
      <c r="C36" s="21">
        <v>-3.8359999999999999</v>
      </c>
      <c r="D36" s="21">
        <v>-4.17</v>
      </c>
      <c r="E36" s="21">
        <v>-2.738</v>
      </c>
      <c r="F36" s="21">
        <v>-4.1909999999999989</v>
      </c>
      <c r="G36" s="21">
        <v>-4.9160000000000004</v>
      </c>
      <c r="H36" s="21">
        <v>-2.64</v>
      </c>
      <c r="I36" s="21">
        <v>-2.9009999999999998</v>
      </c>
      <c r="J36" s="21">
        <v>-4.7510000000000012</v>
      </c>
      <c r="K36" s="21">
        <v>-6.319</v>
      </c>
      <c r="L36" s="21">
        <v>-14.646000000000001</v>
      </c>
      <c r="M36" s="21">
        <v>-5.6379999999999999</v>
      </c>
      <c r="N36" s="21">
        <f>-23.686-Q36-P36-O36</f>
        <v>-10.071000000000002</v>
      </c>
      <c r="O36" s="21">
        <v>-4.0469999999999997</v>
      </c>
      <c r="P36" s="21">
        <v>-5.5640000000000001</v>
      </c>
      <c r="Q36" s="21">
        <v>-4.0039999999999996</v>
      </c>
      <c r="R36" s="21"/>
      <c r="S36" s="21"/>
      <c r="T36" s="21"/>
    </row>
    <row r="37" spans="1:20" s="20" customFormat="1" x14ac:dyDescent="0.2">
      <c r="A37" s="20" t="s">
        <v>15</v>
      </c>
      <c r="B37" s="20">
        <f t="shared" ref="B37:Q37" si="31">+B35+B36</f>
        <v>16.70999999999999</v>
      </c>
      <c r="C37" s="20">
        <f t="shared" si="31"/>
        <v>-39.292999999999992</v>
      </c>
      <c r="D37" s="20">
        <f t="shared" si="31"/>
        <v>41.713000000000001</v>
      </c>
      <c r="E37" s="20">
        <f t="shared" si="31"/>
        <v>38.237000000000002</v>
      </c>
      <c r="F37" s="20">
        <f t="shared" si="31"/>
        <v>24.988000000000003</v>
      </c>
      <c r="G37" s="20">
        <f t="shared" si="31"/>
        <v>-2.1060000000000003</v>
      </c>
      <c r="H37" s="20">
        <f t="shared" si="31"/>
        <v>24.667999999999999</v>
      </c>
      <c r="I37" s="20">
        <f t="shared" si="31"/>
        <v>-2.0359999999999996</v>
      </c>
      <c r="J37" s="20">
        <f t="shared" si="31"/>
        <v>20.652999999999999</v>
      </c>
      <c r="K37" s="20">
        <f t="shared" si="31"/>
        <v>-22.11</v>
      </c>
      <c r="L37" s="20">
        <f t="shared" si="31"/>
        <v>13.305</v>
      </c>
      <c r="M37" s="20">
        <f t="shared" si="31"/>
        <v>-17.682000000000002</v>
      </c>
      <c r="N37" s="20">
        <f t="shared" si="31"/>
        <v>30.951000000000004</v>
      </c>
      <c r="O37" s="20">
        <f t="shared" si="31"/>
        <v>-5.66</v>
      </c>
      <c r="P37" s="20">
        <f t="shared" si="31"/>
        <v>7.1240000000000006</v>
      </c>
      <c r="Q37" s="20">
        <f t="shared" si="31"/>
        <v>14.113999999999999</v>
      </c>
    </row>
    <row r="39" spans="1:20" s="16" customFormat="1" x14ac:dyDescent="0.2">
      <c r="A39" s="18" t="s">
        <v>14</v>
      </c>
      <c r="B39" s="19">
        <v>0</v>
      </c>
      <c r="C39" s="19">
        <v>0</v>
      </c>
      <c r="D39" s="19">
        <v>0</v>
      </c>
      <c r="E39" s="19">
        <v>39.9</v>
      </c>
      <c r="F39" s="19">
        <v>0</v>
      </c>
      <c r="G39" s="19">
        <v>0</v>
      </c>
      <c r="H39" s="19">
        <v>0</v>
      </c>
      <c r="I39" s="19">
        <v>0</v>
      </c>
      <c r="J39" s="19">
        <v>0</v>
      </c>
      <c r="K39" s="19">
        <v>0</v>
      </c>
      <c r="L39" s="19">
        <v>0</v>
      </c>
      <c r="M39" s="19">
        <v>0</v>
      </c>
      <c r="N39" s="19">
        <v>0</v>
      </c>
      <c r="O39" s="19">
        <v>0</v>
      </c>
      <c r="P39" s="19">
        <v>0</v>
      </c>
      <c r="Q39" s="19">
        <v>0</v>
      </c>
      <c r="R39" s="19">
        <v>0</v>
      </c>
      <c r="S39" s="19"/>
      <c r="T39" s="19"/>
    </row>
    <row r="40" spans="1:20" s="16" customFormat="1" x14ac:dyDescent="0.2">
      <c r="A40" s="18" t="s">
        <v>13</v>
      </c>
      <c r="B40" s="19">
        <f>567.788+115.538</f>
        <v>683.32600000000002</v>
      </c>
      <c r="C40" s="19">
        <f>596+118</f>
        <v>714</v>
      </c>
      <c r="D40" s="19">
        <v>584.50900000000001</v>
      </c>
      <c r="E40" s="19">
        <f>522.148+63.855</f>
        <v>586.00300000000004</v>
      </c>
      <c r="F40" s="19">
        <v>573.34699999999998</v>
      </c>
      <c r="G40" s="19">
        <v>570.06400000000008</v>
      </c>
      <c r="H40" s="19">
        <f>508.286+64.35</f>
        <v>572.63599999999997</v>
      </c>
      <c r="I40" s="19">
        <f>507.929+62.909</f>
        <v>570.83799999999997</v>
      </c>
      <c r="J40" s="19">
        <f>505.558+64.68</f>
        <v>570.23800000000006</v>
      </c>
      <c r="K40" s="19">
        <f>511.3+65.01</f>
        <v>576.31000000000006</v>
      </c>
      <c r="L40" s="19">
        <f>503.762+65.01</f>
        <v>568.77200000000005</v>
      </c>
      <c r="M40" s="19">
        <f>501.145+65.175</f>
        <v>566.31999999999994</v>
      </c>
      <c r="N40" s="19">
        <f>332.621+63.342</f>
        <v>395.96299999999997</v>
      </c>
      <c r="O40" s="19">
        <f>333.063+65.505</f>
        <v>398.56799999999998</v>
      </c>
      <c r="P40" s="19">
        <f>322.909+65.67</f>
        <v>388.57900000000001</v>
      </c>
      <c r="Q40" s="19">
        <f>337.152+63.262</f>
        <v>400.41399999999999</v>
      </c>
      <c r="R40" s="19">
        <v>0</v>
      </c>
      <c r="S40" s="19"/>
      <c r="T40" s="19"/>
    </row>
    <row r="41" spans="1:20" s="16" customFormat="1" x14ac:dyDescent="0.2">
      <c r="A41" s="18" t="s">
        <v>12</v>
      </c>
      <c r="B41" s="19">
        <f t="shared" ref="B41:M41" si="32">B39+B40</f>
        <v>683.32600000000002</v>
      </c>
      <c r="C41" s="19">
        <f t="shared" si="32"/>
        <v>714</v>
      </c>
      <c r="D41" s="19">
        <f t="shared" si="32"/>
        <v>584.50900000000001</v>
      </c>
      <c r="E41" s="19">
        <f t="shared" si="32"/>
        <v>625.90300000000002</v>
      </c>
      <c r="F41" s="19">
        <f t="shared" si="32"/>
        <v>573.34699999999998</v>
      </c>
      <c r="G41" s="19">
        <f t="shared" si="32"/>
        <v>570.06400000000008</v>
      </c>
      <c r="H41" s="19">
        <f t="shared" si="32"/>
        <v>572.63599999999997</v>
      </c>
      <c r="I41" s="19">
        <f t="shared" si="32"/>
        <v>570.83799999999997</v>
      </c>
      <c r="J41" s="19">
        <f t="shared" si="32"/>
        <v>570.23800000000006</v>
      </c>
      <c r="K41" s="19">
        <f t="shared" si="32"/>
        <v>576.31000000000006</v>
      </c>
      <c r="L41" s="19">
        <f t="shared" si="32"/>
        <v>568.77200000000005</v>
      </c>
      <c r="M41" s="19">
        <f t="shared" si="32"/>
        <v>566.31999999999994</v>
      </c>
      <c r="N41" s="19">
        <f>N39+N40+132</f>
        <v>527.96299999999997</v>
      </c>
      <c r="O41" s="19">
        <f>O39+O40+136</f>
        <v>534.56799999999998</v>
      </c>
      <c r="P41" s="19">
        <f>P39+P40+136</f>
        <v>524.57899999999995</v>
      </c>
      <c r="Q41" s="19">
        <f>Q39+Q40+132.105</f>
        <v>532.51900000000001</v>
      </c>
      <c r="R41" s="19">
        <v>0</v>
      </c>
      <c r="S41" s="19"/>
      <c r="T41" s="19"/>
    </row>
    <row r="42" spans="1:20" s="16" customFormat="1" x14ac:dyDescent="0.2">
      <c r="A42" s="18" t="s">
        <v>11</v>
      </c>
      <c r="B42" s="17">
        <v>510</v>
      </c>
      <c r="C42" s="17">
        <v>510</v>
      </c>
      <c r="D42" s="17">
        <v>510</v>
      </c>
      <c r="E42" s="17">
        <v>510</v>
      </c>
      <c r="F42" s="17">
        <v>510</v>
      </c>
      <c r="G42" s="17">
        <v>510</v>
      </c>
      <c r="H42" s="17">
        <v>510</v>
      </c>
      <c r="I42" s="17">
        <v>510</v>
      </c>
      <c r="J42" s="17">
        <v>510</v>
      </c>
      <c r="K42" s="17">
        <v>510</v>
      </c>
      <c r="L42" s="17">
        <v>510</v>
      </c>
      <c r="M42" s="17">
        <v>510</v>
      </c>
      <c r="N42" s="17">
        <v>510</v>
      </c>
      <c r="O42" s="17">
        <v>510</v>
      </c>
      <c r="P42" s="17">
        <v>510</v>
      </c>
      <c r="Q42" s="17">
        <v>510</v>
      </c>
      <c r="R42" s="17">
        <v>0</v>
      </c>
      <c r="S42" s="17"/>
      <c r="T42" s="17"/>
    </row>
    <row r="43" spans="1:20" x14ac:dyDescent="0.2">
      <c r="B43" s="16"/>
      <c r="C43" s="16"/>
      <c r="D43" s="16"/>
      <c r="E43" s="16"/>
      <c r="F43" s="16"/>
      <c r="G43" s="16"/>
      <c r="H43" s="16"/>
      <c r="I43" s="16"/>
      <c r="J43" s="16"/>
      <c r="K43" s="16"/>
      <c r="L43" s="16"/>
      <c r="M43" s="16"/>
      <c r="N43" s="16"/>
      <c r="O43" s="16"/>
      <c r="P43" s="16"/>
      <c r="Q43" s="16"/>
      <c r="R43" s="16"/>
      <c r="S43" s="16"/>
    </row>
    <row r="44" spans="1:20" x14ac:dyDescent="0.2">
      <c r="A44" s="15" t="s">
        <v>10</v>
      </c>
      <c r="B44" s="14">
        <v>31.1</v>
      </c>
      <c r="C44" s="14">
        <v>14.641</v>
      </c>
      <c r="D44" s="14">
        <v>115.761</v>
      </c>
      <c r="E44" s="14">
        <v>115.212</v>
      </c>
      <c r="F44" s="14">
        <v>39.094000000000001</v>
      </c>
      <c r="G44" s="14">
        <v>45.542000000000002</v>
      </c>
      <c r="H44" s="14">
        <v>43.542000000000002</v>
      </c>
      <c r="I44" s="14">
        <v>45.787999999999997</v>
      </c>
      <c r="J44" s="14">
        <v>49.67</v>
      </c>
      <c r="K44" s="14">
        <v>31.3</v>
      </c>
      <c r="L44" s="14">
        <v>54.843000000000004</v>
      </c>
      <c r="M44" s="14">
        <v>43.179000000000002</v>
      </c>
      <c r="N44" s="14">
        <v>32.732999999999997</v>
      </c>
      <c r="O44" s="14">
        <v>14.743</v>
      </c>
      <c r="P44" s="14">
        <v>22.908999999999999</v>
      </c>
      <c r="Q44" s="14">
        <v>18.757000000000001</v>
      </c>
      <c r="R44" s="14">
        <v>0</v>
      </c>
      <c r="S44" s="14"/>
      <c r="T44" s="14"/>
    </row>
    <row r="46" spans="1:20" x14ac:dyDescent="0.2">
      <c r="A46" s="1" t="s">
        <v>9</v>
      </c>
      <c r="B46" s="11">
        <f t="shared" ref="B46:N46" si="33">B12+C12+D12+E12</f>
        <v>663.00800000000004</v>
      </c>
      <c r="C46" s="11">
        <f t="shared" si="33"/>
        <v>666.61999999999989</v>
      </c>
      <c r="D46" s="11">
        <f t="shared" si="33"/>
        <v>651.23</v>
      </c>
      <c r="E46" s="11">
        <f t="shared" si="33"/>
        <v>641.12300000000005</v>
      </c>
      <c r="F46" s="11">
        <f t="shared" si="33"/>
        <v>623.89499999999998</v>
      </c>
      <c r="G46" s="11">
        <f t="shared" si="33"/>
        <v>617.42700000000013</v>
      </c>
      <c r="H46" s="11">
        <f t="shared" si="33"/>
        <v>606.68100000000004</v>
      </c>
      <c r="I46" s="11">
        <f t="shared" si="33"/>
        <v>608.15600000000006</v>
      </c>
      <c r="J46" s="11">
        <f t="shared" si="33"/>
        <v>606.71900000000005</v>
      </c>
      <c r="K46" s="11">
        <f t="shared" si="33"/>
        <v>614.08299999999997</v>
      </c>
      <c r="L46" s="11">
        <f t="shared" si="33"/>
        <v>617.47199999999998</v>
      </c>
      <c r="M46" s="11">
        <f t="shared" si="33"/>
        <v>618.8119999999999</v>
      </c>
      <c r="N46" s="11">
        <f t="shared" si="33"/>
        <v>620.01</v>
      </c>
      <c r="O46" s="11">
        <f>P46</f>
        <v>588.98500000000001</v>
      </c>
      <c r="P46" s="11">
        <f>Q46</f>
        <v>588.98500000000001</v>
      </c>
      <c r="Q46" s="11">
        <f>R46</f>
        <v>588.98500000000001</v>
      </c>
      <c r="R46" s="12">
        <v>588.98500000000001</v>
      </c>
      <c r="S46" s="11"/>
    </row>
    <row r="47" spans="1:20" x14ac:dyDescent="0.2">
      <c r="A47" s="1" t="s">
        <v>8</v>
      </c>
      <c r="B47" s="11">
        <f t="shared" ref="B47:C47" si="34">B27</f>
        <v>132.19999999999993</v>
      </c>
      <c r="C47" s="11">
        <f t="shared" si="34"/>
        <v>148.39999999999998</v>
      </c>
      <c r="D47" s="11">
        <f t="shared" ref="D47:E47" si="35">D27</f>
        <v>144.5</v>
      </c>
      <c r="E47" s="11">
        <f t="shared" si="35"/>
        <v>135.29999999999998</v>
      </c>
      <c r="F47" s="11">
        <f t="shared" ref="F47:G47" si="36">F27</f>
        <v>121.49999999999999</v>
      </c>
      <c r="G47" s="11">
        <f t="shared" si="36"/>
        <v>113.822199</v>
      </c>
      <c r="H47" s="11">
        <f t="shared" ref="H47" si="37">H27</f>
        <v>107.896784</v>
      </c>
      <c r="I47" s="11">
        <f t="shared" ref="I47:J47" si="38">I27</f>
        <v>111.739</v>
      </c>
      <c r="J47" s="11">
        <f t="shared" si="38"/>
        <v>112.2</v>
      </c>
      <c r="K47" s="11">
        <f t="shared" ref="K47:P47" si="39">K27</f>
        <v>108.626801</v>
      </c>
      <c r="L47" s="11">
        <f t="shared" si="39"/>
        <v>106.025032</v>
      </c>
      <c r="M47" s="11">
        <f t="shared" si="39"/>
        <v>107.68257</v>
      </c>
      <c r="N47" s="11">
        <f t="shared" si="39"/>
        <v>107.82157000000001</v>
      </c>
      <c r="O47" s="11">
        <f t="shared" si="39"/>
        <v>110.35544200000001</v>
      </c>
      <c r="P47" s="11">
        <f t="shared" si="39"/>
        <v>108.71123600000001</v>
      </c>
      <c r="Q47" s="11">
        <f>R47</f>
        <v>102.431</v>
      </c>
      <c r="R47" s="12">
        <v>102.431</v>
      </c>
      <c r="S47" s="11"/>
    </row>
    <row r="48" spans="1:20" x14ac:dyDescent="0.2">
      <c r="A48" s="1" t="s">
        <v>7</v>
      </c>
      <c r="B48" s="53">
        <f t="shared" ref="B48:N48" si="40">B37+C37+D37+E37</f>
        <v>57.367000000000004</v>
      </c>
      <c r="C48" s="53">
        <f t="shared" si="40"/>
        <v>65.64500000000001</v>
      </c>
      <c r="D48" s="53">
        <f t="shared" si="40"/>
        <v>102.83200000000001</v>
      </c>
      <c r="E48" s="53">
        <f t="shared" si="40"/>
        <v>85.787000000000006</v>
      </c>
      <c r="F48" s="53">
        <f t="shared" si="40"/>
        <v>45.513999999999996</v>
      </c>
      <c r="G48" s="53">
        <f t="shared" si="40"/>
        <v>41.178999999999995</v>
      </c>
      <c r="H48" s="53">
        <f t="shared" si="40"/>
        <v>21.174999999999997</v>
      </c>
      <c r="I48" s="53">
        <f t="shared" si="40"/>
        <v>9.8119999999999976</v>
      </c>
      <c r="J48" s="53">
        <f t="shared" si="40"/>
        <v>-5.8340000000000032</v>
      </c>
      <c r="K48" s="53">
        <f t="shared" si="40"/>
        <v>4.4640000000000022</v>
      </c>
      <c r="L48" s="53">
        <f t="shared" si="40"/>
        <v>20.914000000000001</v>
      </c>
      <c r="M48" s="53">
        <f t="shared" si="40"/>
        <v>14.733000000000002</v>
      </c>
      <c r="N48" s="53">
        <f t="shared" si="40"/>
        <v>46.529000000000003</v>
      </c>
      <c r="O48" s="53" t="s">
        <v>83</v>
      </c>
      <c r="P48" s="53" t="s">
        <v>83</v>
      </c>
      <c r="Q48" s="53" t="s">
        <v>83</v>
      </c>
      <c r="R48" s="53" t="s">
        <v>83</v>
      </c>
      <c r="S48" s="11"/>
    </row>
    <row r="50" spans="1:20" s="10" customFormat="1" x14ac:dyDescent="0.2">
      <c r="A50" s="10" t="s">
        <v>6</v>
      </c>
      <c r="B50" s="10">
        <f t="shared" ref="B50:C50" si="41">+SUM(B39:B40)/B47</f>
        <v>5.1688804841149798</v>
      </c>
      <c r="C50" s="10">
        <f t="shared" si="41"/>
        <v>4.8113207547169816</v>
      </c>
      <c r="D50" s="10">
        <f t="shared" ref="D50:E50" si="42">+SUM(D39:D40)/D47</f>
        <v>4.0450449826989621</v>
      </c>
      <c r="E50" s="10">
        <f t="shared" si="42"/>
        <v>4.6260384331116047</v>
      </c>
      <c r="F50" s="10">
        <f t="shared" ref="F50:G50" si="43">+SUM(F39:F40)/F47</f>
        <v>4.7189053497942393</v>
      </c>
      <c r="G50" s="10">
        <f t="shared" si="43"/>
        <v>5.0083727516106071</v>
      </c>
      <c r="H50" s="10">
        <f t="shared" ref="H50:I50" si="44">+SUM(H39:H40)/H47</f>
        <v>5.3072573506917502</v>
      </c>
      <c r="I50" s="10">
        <f t="shared" si="44"/>
        <v>5.1086728895014266</v>
      </c>
      <c r="J50" s="10">
        <f t="shared" ref="J50:K50" si="45">+SUM(J39:J40)/J47</f>
        <v>5.0823351158645282</v>
      </c>
      <c r="K50" s="10">
        <f t="shared" si="45"/>
        <v>5.3054126117549947</v>
      </c>
      <c r="L50" s="10">
        <f t="shared" ref="L50:Q50" si="46">+SUM(L39:L40)/L47</f>
        <v>5.364506751575421</v>
      </c>
      <c r="M50" s="10">
        <f t="shared" si="46"/>
        <v>5.2591612551594924</v>
      </c>
      <c r="N50" s="10">
        <f t="shared" si="46"/>
        <v>3.6723913406195061</v>
      </c>
      <c r="O50" s="10">
        <f t="shared" si="46"/>
        <v>3.6116750816874075</v>
      </c>
      <c r="P50" s="10">
        <f t="shared" si="46"/>
        <v>3.574414331927934</v>
      </c>
      <c r="Q50" s="10">
        <f t="shared" si="46"/>
        <v>3.9091095469145083</v>
      </c>
    </row>
    <row r="51" spans="1:20" s="10" customFormat="1" x14ac:dyDescent="0.2">
      <c r="A51" s="10" t="s">
        <v>5</v>
      </c>
      <c r="B51" s="10">
        <f t="shared" ref="B51:C51" si="47">+B41/B47</f>
        <v>5.1688804841149798</v>
      </c>
      <c r="C51" s="10">
        <f t="shared" si="47"/>
        <v>4.8113207547169816</v>
      </c>
      <c r="D51" s="10">
        <f t="shared" ref="D51:E51" si="48">+D41/D47</f>
        <v>4.0450449826989621</v>
      </c>
      <c r="E51" s="10">
        <f t="shared" si="48"/>
        <v>4.6260384331116047</v>
      </c>
      <c r="F51" s="10">
        <f t="shared" ref="F51:G51" si="49">+F41/F47</f>
        <v>4.7189053497942393</v>
      </c>
      <c r="G51" s="10">
        <f t="shared" si="49"/>
        <v>5.0083727516106071</v>
      </c>
      <c r="H51" s="10">
        <f t="shared" ref="H51" si="50">+H41/H47</f>
        <v>5.3072573506917502</v>
      </c>
      <c r="I51" s="10">
        <f t="shared" ref="I51:J51" si="51">+I41/I47</f>
        <v>5.1086728895014266</v>
      </c>
      <c r="J51" s="10">
        <f t="shared" si="51"/>
        <v>5.0823351158645282</v>
      </c>
      <c r="K51" s="10">
        <f t="shared" ref="K51:Q51" si="52">+K41/K47</f>
        <v>5.3054126117549947</v>
      </c>
      <c r="L51" s="10">
        <f t="shared" si="52"/>
        <v>5.364506751575421</v>
      </c>
      <c r="M51" s="10">
        <f t="shared" si="52"/>
        <v>5.2591612551594924</v>
      </c>
      <c r="N51" s="10">
        <f t="shared" si="52"/>
        <v>4.8966361740048852</v>
      </c>
      <c r="O51" s="10">
        <f t="shared" si="52"/>
        <v>4.8440565350642153</v>
      </c>
      <c r="P51" s="10">
        <f t="shared" si="52"/>
        <v>4.8254349715975993</v>
      </c>
      <c r="Q51" s="10">
        <f t="shared" si="52"/>
        <v>5.1988070017865686</v>
      </c>
    </row>
    <row r="52" spans="1:20" s="10" customFormat="1" x14ac:dyDescent="0.2">
      <c r="A52" s="10" t="s">
        <v>4</v>
      </c>
      <c r="B52" s="10">
        <f t="shared" ref="B52:C52" si="53">+(B41-B44)/B47</f>
        <v>4.9336308623298057</v>
      </c>
      <c r="C52" s="10">
        <f t="shared" si="53"/>
        <v>4.7126617250673863</v>
      </c>
      <c r="D52" s="10">
        <f t="shared" ref="D52:E52" si="54">+(D41-D44)/D47</f>
        <v>3.243930795847751</v>
      </c>
      <c r="E52" s="10">
        <f t="shared" si="54"/>
        <v>3.7745084996304517</v>
      </c>
      <c r="F52" s="10">
        <f t="shared" ref="F52:G52" si="55">+(F41-F44)/F47</f>
        <v>4.397144032921811</v>
      </c>
      <c r="G52" s="10">
        <f t="shared" si="55"/>
        <v>4.6082574805991934</v>
      </c>
      <c r="H52" s="10">
        <f t="shared" ref="H52" si="56">+(H41-H44)/H47</f>
        <v>4.9037050075561099</v>
      </c>
      <c r="I52" s="10">
        <f t="shared" ref="I52:J52" si="57">+(I41-I44)/I47</f>
        <v>4.698896535676889</v>
      </c>
      <c r="J52" s="10">
        <f t="shared" si="57"/>
        <v>4.6396434937611417</v>
      </c>
      <c r="K52" s="10">
        <f t="shared" ref="K52:Q52" si="58">+(K41-K44)/K47</f>
        <v>5.0172700934090848</v>
      </c>
      <c r="L52" s="10">
        <f t="shared" si="58"/>
        <v>4.8472421116552935</v>
      </c>
      <c r="M52" s="10">
        <f t="shared" si="58"/>
        <v>4.8581771404601506</v>
      </c>
      <c r="N52" s="10">
        <f t="shared" si="58"/>
        <v>4.593051279071525</v>
      </c>
      <c r="O52" s="10">
        <f t="shared" si="58"/>
        <v>4.7104609485411686</v>
      </c>
      <c r="P52" s="10">
        <f t="shared" si="58"/>
        <v>4.614702384581479</v>
      </c>
      <c r="Q52" s="10">
        <f t="shared" si="58"/>
        <v>5.0156886098934903</v>
      </c>
    </row>
    <row r="53" spans="1:20" s="6" customFormat="1" x14ac:dyDescent="0.2">
      <c r="A53" s="6" t="s">
        <v>3</v>
      </c>
      <c r="B53" s="52">
        <f t="shared" ref="B53:C53" si="59">IFERROR(+B48/B41,"NA")</f>
        <v>8.3952608271893658E-2</v>
      </c>
      <c r="C53" s="52">
        <f t="shared" si="59"/>
        <v>9.193977591036416E-2</v>
      </c>
      <c r="D53" s="52">
        <f t="shared" ref="D53:E53" si="60">IFERROR(+D48/D41,"NA")</f>
        <v>0.17592885652744442</v>
      </c>
      <c r="E53" s="52">
        <f t="shared" si="60"/>
        <v>0.13706117401578199</v>
      </c>
      <c r="F53" s="52">
        <f t="shared" ref="F53:G53" si="61">IFERROR(+F48/F41,"NA")</f>
        <v>7.9382991451947937E-2</v>
      </c>
      <c r="G53" s="52">
        <f t="shared" si="61"/>
        <v>7.223574896853685E-2</v>
      </c>
      <c r="H53" s="52">
        <f t="shared" ref="H53" si="62">IFERROR(+H48/H41,"NA")</f>
        <v>3.6978115242492608E-2</v>
      </c>
      <c r="I53" s="52">
        <f t="shared" ref="I53:J53" si="63">IFERROR(+I48/I41,"NA")</f>
        <v>1.7188764588201903E-2</v>
      </c>
      <c r="J53" s="52">
        <f t="shared" si="63"/>
        <v>-1.0230815904937943E-2</v>
      </c>
      <c r="K53" s="52">
        <f t="shared" ref="K53:Q53" si="64">IFERROR(+K48/K41,"NA")</f>
        <v>7.745831236660828E-3</v>
      </c>
      <c r="L53" s="52">
        <f t="shared" si="64"/>
        <v>3.6770445802535988E-2</v>
      </c>
      <c r="M53" s="52">
        <f t="shared" si="64"/>
        <v>2.6015327023590908E-2</v>
      </c>
      <c r="N53" s="52">
        <f t="shared" si="64"/>
        <v>8.8129281786791885E-2</v>
      </c>
      <c r="O53" s="52" t="str">
        <f t="shared" si="64"/>
        <v>NA</v>
      </c>
      <c r="P53" s="52" t="str">
        <f t="shared" si="64"/>
        <v>NA</v>
      </c>
      <c r="Q53" s="52" t="str">
        <f t="shared" si="64"/>
        <v>NA</v>
      </c>
      <c r="R53" s="52"/>
    </row>
    <row r="54" spans="1:20" s="6" customFormat="1" x14ac:dyDescent="0.2">
      <c r="A54" s="8" t="s">
        <v>2</v>
      </c>
      <c r="B54" s="9"/>
      <c r="C54" s="9"/>
      <c r="D54" s="9"/>
      <c r="E54" s="9"/>
      <c r="F54" s="9"/>
      <c r="G54" s="9"/>
      <c r="H54" s="9"/>
      <c r="I54" s="9"/>
      <c r="J54" s="9"/>
      <c r="K54" s="9"/>
      <c r="L54" s="9"/>
      <c r="M54" s="9"/>
      <c r="N54" s="9"/>
      <c r="O54" s="9"/>
      <c r="P54" s="9"/>
      <c r="Q54" s="9"/>
      <c r="R54" s="9"/>
      <c r="S54" s="9"/>
      <c r="T54" s="8"/>
    </row>
    <row r="55" spans="1:20" s="6" customFormat="1" x14ac:dyDescent="0.2">
      <c r="A55" s="6" t="s">
        <v>1</v>
      </c>
      <c r="B55" s="7">
        <f t="shared" ref="B55:C55" si="65">IF(B42=0,IF(B54="","","*"&amp;TEXT(B54,"0.0x")),(B41+B42-B44)/B47)</f>
        <v>8.7914220877458451</v>
      </c>
      <c r="C55" s="7">
        <f t="shared" si="65"/>
        <v>8.1493194070080861</v>
      </c>
      <c r="D55" s="7">
        <f t="shared" ref="D55:E55" si="66">IF(D42=0,IF(D54="","","*"&amp;TEXT(D54,"0.0x")),(D41+D42-D44)/D47)</f>
        <v>6.7733425605536333</v>
      </c>
      <c r="E55" s="7">
        <f t="shared" si="66"/>
        <v>7.5439098300073919</v>
      </c>
      <c r="F55" s="7">
        <f t="shared" ref="F55:G55" si="67">IF(F42=0,IF(F54="","","*"&amp;TEXT(F54,"0.0x")),(F41+F42-F44)/F47)</f>
        <v>8.5946748971193418</v>
      </c>
      <c r="G55" s="7">
        <f t="shared" si="67"/>
        <v>9.0889300074056756</v>
      </c>
      <c r="H55" s="7">
        <f t="shared" ref="H55" si="68">IF(H42=0,IF(H54="","","*"&amp;TEXT(H54,"0.0x")),(H41+H42-H44)/H47)</f>
        <v>9.6304445923059223</v>
      </c>
      <c r="I55" s="7">
        <f t="shared" ref="I55:J55" si="69">IF(I42=0,IF(I54="","","*"&amp;TEXT(I54,"0.0x")),(I41+I42-I44)/I47)</f>
        <v>9.2631041981761069</v>
      </c>
      <c r="J55" s="7">
        <f t="shared" si="69"/>
        <v>9.1850980392156867</v>
      </c>
      <c r="K55" s="7">
        <f t="shared" ref="K55:S55" si="70">IF(K42=0,IF(K54="","","*"&amp;TEXT(K54,"0.0x")),(K41+K42-K44)/K47)</f>
        <v>9.7122440345085739</v>
      </c>
      <c r="L55" s="7">
        <f t="shared" si="70"/>
        <v>9.6574269366879317</v>
      </c>
      <c r="M55" s="7">
        <f t="shared" si="70"/>
        <v>9.5943196749483217</v>
      </c>
      <c r="N55" s="7">
        <f t="shared" si="70"/>
        <v>9.3230881353332169</v>
      </c>
      <c r="O55" s="7">
        <f t="shared" si="70"/>
        <v>9.3318913987041974</v>
      </c>
      <c r="P55" s="7">
        <f t="shared" si="70"/>
        <v>9.3060297833427246</v>
      </c>
      <c r="Q55" s="7">
        <f t="shared" si="70"/>
        <v>9.9946500571116168</v>
      </c>
      <c r="R55" s="7" t="str">
        <f t="shared" si="70"/>
        <v/>
      </c>
      <c r="S55" s="7" t="str">
        <f t="shared" si="70"/>
        <v/>
      </c>
      <c r="T55" s="7" t="str">
        <f>IF(T42=0,IF(T54="","",CONCATENATE("* ",T54,"x")),(T41+T42-T44)/T47)</f>
        <v/>
      </c>
    </row>
    <row r="57" spans="1:20" ht="102" x14ac:dyDescent="0.2">
      <c r="A57" s="5" t="s">
        <v>0</v>
      </c>
      <c r="B57" s="4" t="s">
        <v>104</v>
      </c>
      <c r="C57" s="4" t="s">
        <v>104</v>
      </c>
      <c r="D57" s="4" t="s">
        <v>104</v>
      </c>
      <c r="E57" s="4" t="s">
        <v>104</v>
      </c>
      <c r="F57" s="4" t="s">
        <v>104</v>
      </c>
      <c r="G57" s="4" t="s">
        <v>104</v>
      </c>
      <c r="H57" s="4" t="s">
        <v>104</v>
      </c>
      <c r="I57" s="4" t="s">
        <v>104</v>
      </c>
      <c r="J57" s="4" t="s">
        <v>104</v>
      </c>
      <c r="K57" s="4" t="s">
        <v>104</v>
      </c>
      <c r="L57" s="4"/>
      <c r="M57" s="4"/>
      <c r="N57" s="4"/>
      <c r="O57" s="4" t="s">
        <v>108</v>
      </c>
      <c r="P57" s="4" t="s">
        <v>107</v>
      </c>
      <c r="Q57" s="4" t="s">
        <v>106</v>
      </c>
      <c r="R57" s="4"/>
      <c r="S57" s="4"/>
      <c r="T57" s="4"/>
    </row>
    <row r="58" spans="1:20" x14ac:dyDescent="0.2">
      <c r="A58" s="2"/>
      <c r="B58" s="3"/>
      <c r="C58" s="3"/>
      <c r="D58" s="3"/>
      <c r="E58" s="3"/>
      <c r="F58" s="3"/>
      <c r="G58" s="3"/>
      <c r="H58" s="3"/>
      <c r="I58" s="3"/>
      <c r="J58" s="3"/>
      <c r="K58" s="3"/>
      <c r="L58" s="3"/>
      <c r="M58" s="3"/>
      <c r="N58" s="3"/>
      <c r="O58" s="3"/>
      <c r="P58" s="3"/>
      <c r="Q58" s="3"/>
    </row>
    <row r="59" spans="1:20" x14ac:dyDescent="0.2">
      <c r="A59" s="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175</v>
      </c>
    </row>
    <row r="3" spans="1:15" s="35" customFormat="1" x14ac:dyDescent="0.2">
      <c r="A3" s="36" t="s">
        <v>43</v>
      </c>
      <c r="B3" s="35" t="s">
        <v>174</v>
      </c>
    </row>
    <row r="4" spans="1:15" x14ac:dyDescent="0.2">
      <c r="A4" s="34" t="s">
        <v>41</v>
      </c>
      <c r="B4" s="1" t="s">
        <v>40</v>
      </c>
    </row>
    <row r="5" spans="1:15" x14ac:dyDescent="0.2">
      <c r="A5" s="34" t="s">
        <v>39</v>
      </c>
    </row>
    <row r="6" spans="1:15" x14ac:dyDescent="0.2">
      <c r="A6" s="34" t="s">
        <v>38</v>
      </c>
      <c r="B6" s="1">
        <v>5</v>
      </c>
    </row>
    <row r="7" spans="1:15" x14ac:dyDescent="0.2">
      <c r="A7" s="34" t="s">
        <v>37</v>
      </c>
      <c r="B7" s="1" t="e">
        <v>#N/A</v>
      </c>
    </row>
    <row r="8" spans="1:15" x14ac:dyDescent="0.2">
      <c r="A8" s="34" t="s">
        <v>281</v>
      </c>
      <c r="B8" s="1" t="s">
        <v>315</v>
      </c>
    </row>
    <row r="9" spans="1:15" x14ac:dyDescent="0.2">
      <c r="A9" s="22"/>
    </row>
    <row r="10" spans="1:15" x14ac:dyDescent="0.2">
      <c r="A10" s="22" t="s">
        <v>36</v>
      </c>
      <c r="B10" s="33">
        <v>43465</v>
      </c>
      <c r="C10" s="33">
        <v>43373</v>
      </c>
      <c r="D10" s="33">
        <v>43281</v>
      </c>
      <c r="E10" s="33">
        <v>43190</v>
      </c>
      <c r="F10" s="33">
        <v>43100</v>
      </c>
      <c r="G10" s="33">
        <v>43008</v>
      </c>
      <c r="H10" s="33">
        <v>42916</v>
      </c>
      <c r="I10" s="33">
        <v>42825</v>
      </c>
      <c r="J10" s="33">
        <v>42735</v>
      </c>
      <c r="K10" s="33">
        <v>42643</v>
      </c>
      <c r="L10" s="33">
        <v>42551</v>
      </c>
      <c r="M10" s="33">
        <v>42460</v>
      </c>
      <c r="N10" s="33">
        <v>42369</v>
      </c>
      <c r="O10" s="33">
        <v>42277</v>
      </c>
    </row>
    <row r="12" spans="1:15" x14ac:dyDescent="0.2">
      <c r="A12" s="15" t="s">
        <v>35</v>
      </c>
      <c r="B12" s="19">
        <f>1582-C12-D12-E12</f>
        <v>408</v>
      </c>
      <c r="C12" s="19">
        <v>388</v>
      </c>
      <c r="D12" s="19">
        <v>400</v>
      </c>
      <c r="E12" s="19">
        <v>386</v>
      </c>
      <c r="F12" s="19">
        <v>428</v>
      </c>
      <c r="G12" s="19">
        <v>421</v>
      </c>
      <c r="H12" s="19">
        <v>445</v>
      </c>
      <c r="I12" s="19">
        <v>431</v>
      </c>
      <c r="J12" s="19">
        <v>451</v>
      </c>
      <c r="K12" s="19">
        <v>431</v>
      </c>
      <c r="L12" s="19">
        <v>472</v>
      </c>
      <c r="M12" s="19">
        <v>459</v>
      </c>
      <c r="N12" s="19">
        <v>734</v>
      </c>
      <c r="O12" s="19">
        <v>672</v>
      </c>
    </row>
    <row r="13" spans="1:15" s="28" customFormat="1" x14ac:dyDescent="0.2">
      <c r="A13" s="28" t="s">
        <v>34</v>
      </c>
      <c r="B13" s="28">
        <f t="shared" ref="B13:K13" si="0">+B12/F12-1</f>
        <v>-4.6728971962616828E-2</v>
      </c>
      <c r="C13" s="28">
        <f t="shared" si="0"/>
        <v>-7.8384798099762509E-2</v>
      </c>
      <c r="D13" s="28">
        <f t="shared" si="0"/>
        <v>-0.101123595505618</v>
      </c>
      <c r="E13" s="28">
        <f t="shared" si="0"/>
        <v>-0.10440835266821347</v>
      </c>
      <c r="F13" s="28">
        <f t="shared" si="0"/>
        <v>-5.0997782705099803E-2</v>
      </c>
      <c r="G13" s="28">
        <f t="shared" si="0"/>
        <v>-2.3201856148491906E-2</v>
      </c>
      <c r="H13" s="28">
        <f t="shared" si="0"/>
        <v>-5.7203389830508433E-2</v>
      </c>
      <c r="I13" s="28">
        <f t="shared" si="0"/>
        <v>-6.1002178649237515E-2</v>
      </c>
      <c r="J13" s="28">
        <f t="shared" si="0"/>
        <v>-0.38555858310626701</v>
      </c>
      <c r="K13" s="28">
        <f t="shared" si="0"/>
        <v>-0.35863095238095233</v>
      </c>
    </row>
    <row r="14" spans="1:15" s="23" customFormat="1" x14ac:dyDescent="0.2">
      <c r="A14" s="31" t="s">
        <v>33</v>
      </c>
      <c r="B14" s="32" t="s">
        <v>32</v>
      </c>
      <c r="C14" s="32" t="s">
        <v>32</v>
      </c>
      <c r="D14" s="32" t="s">
        <v>32</v>
      </c>
      <c r="E14" s="32" t="s">
        <v>32</v>
      </c>
      <c r="F14" s="32" t="s">
        <v>32</v>
      </c>
      <c r="G14" s="32" t="s">
        <v>32</v>
      </c>
      <c r="H14" s="32" t="s">
        <v>32</v>
      </c>
      <c r="I14" s="32" t="s">
        <v>32</v>
      </c>
      <c r="J14" s="32" t="s">
        <v>32</v>
      </c>
      <c r="K14" s="32" t="s">
        <v>32</v>
      </c>
      <c r="L14" s="31"/>
      <c r="M14" s="31"/>
      <c r="N14" s="31"/>
      <c r="O14" s="31"/>
    </row>
    <row r="16" spans="1:15" s="22" customFormat="1" x14ac:dyDescent="0.2">
      <c r="A16" s="30" t="s">
        <v>31</v>
      </c>
      <c r="B16" s="29">
        <v>3</v>
      </c>
      <c r="C16" s="29">
        <f>C22-C21-C20-C19</f>
        <v>5</v>
      </c>
      <c r="D16" s="29">
        <f>D22-D21-D20-D19</f>
        <v>16</v>
      </c>
      <c r="E16" s="29">
        <f>E22-E21-E20-E19</f>
        <v>1</v>
      </c>
      <c r="F16" s="29">
        <v>2</v>
      </c>
      <c r="G16" s="29">
        <v>2</v>
      </c>
      <c r="H16" s="29">
        <f>H22-H21-H20-H19</f>
        <v>4</v>
      </c>
      <c r="I16" s="29">
        <f>I22-I21-I20-I19</f>
        <v>-11</v>
      </c>
      <c r="J16" s="29">
        <v>-16.600000000000115</v>
      </c>
      <c r="K16" s="29">
        <v>-22</v>
      </c>
      <c r="L16" s="29">
        <v>-11</v>
      </c>
      <c r="M16" s="29">
        <v>1</v>
      </c>
      <c r="N16" s="29">
        <v>36</v>
      </c>
      <c r="O16" s="29">
        <v>35</v>
      </c>
    </row>
    <row r="17" spans="1:19" s="28" customFormat="1" x14ac:dyDescent="0.2">
      <c r="A17" s="28" t="s">
        <v>30</v>
      </c>
      <c r="B17" s="28">
        <f t="shared" ref="B17" si="1">+B16/B12</f>
        <v>7.3529411764705881E-3</v>
      </c>
      <c r="C17" s="28">
        <f t="shared" ref="C17:O17" si="2">+C16/C12</f>
        <v>1.2886597938144329E-2</v>
      </c>
      <c r="D17" s="28">
        <f t="shared" si="2"/>
        <v>0.04</v>
      </c>
      <c r="E17" s="28">
        <f t="shared" si="2"/>
        <v>2.5906735751295338E-3</v>
      </c>
      <c r="F17" s="28">
        <f t="shared" si="2"/>
        <v>4.6728971962616819E-3</v>
      </c>
      <c r="G17" s="28">
        <f t="shared" si="2"/>
        <v>4.7505938242280287E-3</v>
      </c>
      <c r="H17" s="28">
        <f t="shared" si="2"/>
        <v>8.988764044943821E-3</v>
      </c>
      <c r="I17" s="28">
        <f t="shared" si="2"/>
        <v>-2.5522041763341066E-2</v>
      </c>
      <c r="J17" s="28">
        <f t="shared" si="2"/>
        <v>-3.6807095343680964E-2</v>
      </c>
      <c r="K17" s="28">
        <f t="shared" si="2"/>
        <v>-5.1044083526682132E-2</v>
      </c>
      <c r="L17" s="28">
        <f t="shared" si="2"/>
        <v>-2.3305084745762712E-2</v>
      </c>
      <c r="M17" s="28">
        <f t="shared" si="2"/>
        <v>2.1786492374727671E-3</v>
      </c>
      <c r="N17" s="28">
        <f t="shared" si="2"/>
        <v>4.9046321525885561E-2</v>
      </c>
      <c r="O17" s="28">
        <f t="shared" si="2"/>
        <v>5.2083333333333336E-2</v>
      </c>
    </row>
    <row r="18" spans="1:19" s="23" customFormat="1" x14ac:dyDescent="0.2"/>
    <row r="19" spans="1:19"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row>
    <row r="20" spans="1:19" s="23" customFormat="1" x14ac:dyDescent="0.2">
      <c r="A20" s="15" t="s">
        <v>28</v>
      </c>
      <c r="B20" s="19">
        <v>8</v>
      </c>
      <c r="C20" s="19">
        <v>7</v>
      </c>
      <c r="D20" s="19">
        <v>5</v>
      </c>
      <c r="E20" s="19">
        <f>9-D20</f>
        <v>4</v>
      </c>
      <c r="F20" s="19">
        <v>16</v>
      </c>
      <c r="G20" s="19">
        <v>8</v>
      </c>
      <c r="H20" s="19">
        <v>9</v>
      </c>
      <c r="I20" s="19">
        <f>19-H20</f>
        <v>10</v>
      </c>
      <c r="J20" s="19">
        <v>29</v>
      </c>
      <c r="K20" s="19">
        <v>26</v>
      </c>
      <c r="L20" s="19">
        <v>43.3</v>
      </c>
      <c r="M20" s="19">
        <v>31</v>
      </c>
      <c r="N20" s="19">
        <v>33</v>
      </c>
      <c r="O20" s="19">
        <v>12</v>
      </c>
    </row>
    <row r="21" spans="1:19" s="23" customFormat="1" x14ac:dyDescent="0.2">
      <c r="A21" s="15" t="s">
        <v>18</v>
      </c>
      <c r="B21" s="19">
        <v>6</v>
      </c>
      <c r="C21" s="19">
        <v>2</v>
      </c>
      <c r="D21" s="19">
        <v>0</v>
      </c>
      <c r="E21" s="19">
        <f>2-D21</f>
        <v>2</v>
      </c>
      <c r="F21" s="19">
        <v>6</v>
      </c>
      <c r="G21" s="19">
        <v>1</v>
      </c>
      <c r="H21" s="19">
        <v>3</v>
      </c>
      <c r="I21" s="19">
        <f>6-H21</f>
        <v>3</v>
      </c>
      <c r="J21" s="19">
        <f t="shared" ref="J21:O21" si="3">J22-J16-J19-J20</f>
        <v>-17.399999999999885</v>
      </c>
      <c r="K21" s="19">
        <f t="shared" si="3"/>
        <v>-9</v>
      </c>
      <c r="L21" s="19">
        <f t="shared" si="3"/>
        <v>-11.299999999999997</v>
      </c>
      <c r="M21" s="19">
        <f t="shared" si="3"/>
        <v>-12</v>
      </c>
      <c r="N21" s="19">
        <f t="shared" si="3"/>
        <v>0</v>
      </c>
      <c r="O21" s="19">
        <f t="shared" si="3"/>
        <v>0</v>
      </c>
    </row>
    <row r="22" spans="1:19" s="22" customFormat="1" x14ac:dyDescent="0.2">
      <c r="A22" s="22" t="s">
        <v>23</v>
      </c>
      <c r="B22" s="20">
        <f>B16+B19+B20+B21</f>
        <v>17</v>
      </c>
      <c r="C22" s="20">
        <v>14</v>
      </c>
      <c r="D22" s="20">
        <v>21</v>
      </c>
      <c r="E22" s="20">
        <f>28-D22</f>
        <v>7</v>
      </c>
      <c r="F22" s="20">
        <f>F16+F19+F20+F21</f>
        <v>24</v>
      </c>
      <c r="G22" s="20">
        <v>12</v>
      </c>
      <c r="H22" s="20">
        <v>16</v>
      </c>
      <c r="I22" s="20">
        <f>18-H22</f>
        <v>2</v>
      </c>
      <c r="J22" s="20">
        <v>-5</v>
      </c>
      <c r="K22" s="20">
        <v>-5</v>
      </c>
      <c r="L22" s="20">
        <v>21</v>
      </c>
      <c r="M22" s="20">
        <v>20</v>
      </c>
      <c r="N22" s="20">
        <v>69</v>
      </c>
      <c r="O22" s="20">
        <v>47</v>
      </c>
      <c r="S22" s="23"/>
    </row>
    <row r="23" spans="1:19" s="22" customFormat="1" x14ac:dyDescent="0.2">
      <c r="B23" s="20"/>
      <c r="C23" s="20"/>
      <c r="D23" s="20"/>
      <c r="E23" s="20"/>
      <c r="F23" s="20"/>
      <c r="G23" s="20"/>
      <c r="H23" s="20"/>
      <c r="I23" s="20"/>
      <c r="J23" s="20"/>
      <c r="K23" s="20"/>
      <c r="L23" s="20"/>
      <c r="M23" s="20"/>
      <c r="N23" s="20"/>
      <c r="O23" s="20"/>
      <c r="S23" s="23"/>
    </row>
    <row r="24" spans="1:19" s="22" customFormat="1" x14ac:dyDescent="0.2">
      <c r="A24" s="22" t="s">
        <v>27</v>
      </c>
      <c r="B24" s="20">
        <f t="shared" ref="B24:L24" si="4">SUM(B22:E22)</f>
        <v>59</v>
      </c>
      <c r="C24" s="20">
        <f t="shared" si="4"/>
        <v>66</v>
      </c>
      <c r="D24" s="20">
        <f t="shared" si="4"/>
        <v>64</v>
      </c>
      <c r="E24" s="20">
        <f t="shared" si="4"/>
        <v>59</v>
      </c>
      <c r="F24" s="20">
        <f t="shared" si="4"/>
        <v>54</v>
      </c>
      <c r="G24" s="20">
        <f t="shared" si="4"/>
        <v>25</v>
      </c>
      <c r="H24" s="20">
        <f t="shared" si="4"/>
        <v>8</v>
      </c>
      <c r="I24" s="20">
        <f t="shared" si="4"/>
        <v>13</v>
      </c>
      <c r="J24" s="20">
        <f t="shared" si="4"/>
        <v>31</v>
      </c>
      <c r="K24" s="20">
        <f t="shared" si="4"/>
        <v>105</v>
      </c>
      <c r="L24" s="20">
        <f t="shared" si="4"/>
        <v>157</v>
      </c>
      <c r="M24" s="20"/>
      <c r="N24" s="20"/>
      <c r="O24" s="20"/>
      <c r="S24" s="23"/>
    </row>
    <row r="25" spans="1:19" s="23" customFormat="1" x14ac:dyDescent="0.2">
      <c r="A25" s="15" t="s">
        <v>26</v>
      </c>
      <c r="B25" s="27">
        <v>0</v>
      </c>
      <c r="C25" s="27">
        <v>0</v>
      </c>
      <c r="D25" s="27">
        <v>0</v>
      </c>
      <c r="E25" s="27">
        <v>0</v>
      </c>
      <c r="F25" s="27">
        <v>0</v>
      </c>
      <c r="G25" s="27">
        <v>0</v>
      </c>
      <c r="H25" s="27">
        <v>0</v>
      </c>
      <c r="I25" s="27">
        <v>0</v>
      </c>
      <c r="J25" s="27">
        <v>0</v>
      </c>
      <c r="K25" s="27">
        <v>0</v>
      </c>
      <c r="L25" s="27">
        <v>0</v>
      </c>
      <c r="M25" s="27"/>
      <c r="N25" s="27"/>
      <c r="O25" s="27"/>
    </row>
    <row r="26" spans="1:19" s="23" customFormat="1" x14ac:dyDescent="0.2">
      <c r="A26" s="15" t="s">
        <v>25</v>
      </c>
      <c r="B26" s="21">
        <v>0</v>
      </c>
      <c r="C26" s="21">
        <v>0</v>
      </c>
      <c r="D26" s="21">
        <v>0</v>
      </c>
      <c r="E26" s="21">
        <v>0</v>
      </c>
      <c r="F26" s="21">
        <v>0</v>
      </c>
      <c r="G26" s="21">
        <v>0</v>
      </c>
      <c r="H26" s="21">
        <v>0</v>
      </c>
      <c r="I26" s="21">
        <v>0</v>
      </c>
      <c r="J26" s="21">
        <v>0</v>
      </c>
      <c r="K26" s="21">
        <v>0</v>
      </c>
      <c r="L26" s="21">
        <v>0</v>
      </c>
      <c r="M26" s="26"/>
      <c r="N26" s="26"/>
      <c r="O26" s="26"/>
    </row>
    <row r="27" spans="1:19" s="24" customFormat="1" x14ac:dyDescent="0.2">
      <c r="A27" s="22" t="s">
        <v>24</v>
      </c>
      <c r="B27" s="20">
        <f t="shared" ref="B27" si="5">SUM(B24:B26)</f>
        <v>59</v>
      </c>
      <c r="C27" s="20">
        <f t="shared" ref="C27:L27" si="6">SUM(C24:C26)</f>
        <v>66</v>
      </c>
      <c r="D27" s="20">
        <f t="shared" si="6"/>
        <v>64</v>
      </c>
      <c r="E27" s="20">
        <f t="shared" si="6"/>
        <v>59</v>
      </c>
      <c r="F27" s="20">
        <f t="shared" si="6"/>
        <v>54</v>
      </c>
      <c r="G27" s="20">
        <f t="shared" si="6"/>
        <v>25</v>
      </c>
      <c r="H27" s="20">
        <f t="shared" si="6"/>
        <v>8</v>
      </c>
      <c r="I27" s="20">
        <f t="shared" si="6"/>
        <v>13</v>
      </c>
      <c r="J27" s="20">
        <f t="shared" si="6"/>
        <v>31</v>
      </c>
      <c r="K27" s="20">
        <f t="shared" si="6"/>
        <v>105</v>
      </c>
      <c r="L27" s="20">
        <f t="shared" si="6"/>
        <v>157</v>
      </c>
      <c r="M27" s="25"/>
      <c r="N27" s="25"/>
      <c r="O27" s="25"/>
    </row>
    <row r="28" spans="1:19" s="23" customFormat="1" x14ac:dyDescent="0.2"/>
    <row r="29" spans="1:19" s="22" customFormat="1" x14ac:dyDescent="0.2">
      <c r="A29" s="22" t="s">
        <v>23</v>
      </c>
      <c r="B29" s="20">
        <f t="shared" ref="B29:O29" si="7">B22</f>
        <v>17</v>
      </c>
      <c r="C29" s="20">
        <f t="shared" si="7"/>
        <v>14</v>
      </c>
      <c r="D29" s="20">
        <f t="shared" si="7"/>
        <v>21</v>
      </c>
      <c r="E29" s="20">
        <f t="shared" si="7"/>
        <v>7</v>
      </c>
      <c r="F29" s="20">
        <f t="shared" si="7"/>
        <v>24</v>
      </c>
      <c r="G29" s="20">
        <f t="shared" si="7"/>
        <v>12</v>
      </c>
      <c r="H29" s="20">
        <f t="shared" si="7"/>
        <v>16</v>
      </c>
      <c r="I29" s="20">
        <f t="shared" si="7"/>
        <v>2</v>
      </c>
      <c r="J29" s="20">
        <f t="shared" si="7"/>
        <v>-5</v>
      </c>
      <c r="K29" s="20">
        <f t="shared" si="7"/>
        <v>-5</v>
      </c>
      <c r="L29" s="20">
        <f t="shared" si="7"/>
        <v>21</v>
      </c>
      <c r="M29" s="20">
        <f t="shared" si="7"/>
        <v>20</v>
      </c>
      <c r="N29" s="20">
        <f t="shared" si="7"/>
        <v>69</v>
      </c>
      <c r="O29" s="20">
        <f t="shared" si="7"/>
        <v>47</v>
      </c>
    </row>
    <row r="30" spans="1:19" s="11" customFormat="1" x14ac:dyDescent="0.2">
      <c r="A30" s="19" t="s">
        <v>22</v>
      </c>
      <c r="B30" s="19">
        <v>-12</v>
      </c>
      <c r="C30" s="19">
        <v>-11</v>
      </c>
      <c r="D30" s="19">
        <v>-11</v>
      </c>
      <c r="E30" s="19">
        <v>-11</v>
      </c>
      <c r="F30" s="19">
        <v>-9</v>
      </c>
      <c r="G30" s="19">
        <v>-20</v>
      </c>
      <c r="H30" s="19">
        <v>-15</v>
      </c>
      <c r="I30" s="19">
        <v>-19</v>
      </c>
      <c r="J30" s="19">
        <v>-12.5</v>
      </c>
      <c r="K30" s="19">
        <v>-19</v>
      </c>
      <c r="L30" s="19">
        <v>-16</v>
      </c>
      <c r="M30" s="19">
        <v>-14</v>
      </c>
      <c r="N30" s="19">
        <v>-12</v>
      </c>
      <c r="O30" s="19">
        <v>-15</v>
      </c>
    </row>
    <row r="31" spans="1:19" s="11" customFormat="1" x14ac:dyDescent="0.2">
      <c r="A31" s="19" t="s">
        <v>21</v>
      </c>
      <c r="B31" s="19">
        <v>-8</v>
      </c>
      <c r="C31" s="19">
        <v>3</v>
      </c>
      <c r="D31" s="19">
        <v>0</v>
      </c>
      <c r="E31" s="19">
        <v>-1</v>
      </c>
      <c r="F31" s="19">
        <v>-3</v>
      </c>
      <c r="G31" s="19">
        <v>3</v>
      </c>
      <c r="H31" s="19">
        <v>-2</v>
      </c>
      <c r="I31" s="19">
        <v>28</v>
      </c>
      <c r="J31" s="19">
        <v>0.10000000000000009</v>
      </c>
      <c r="K31" s="19">
        <v>2</v>
      </c>
      <c r="L31" s="19">
        <v>-4</v>
      </c>
      <c r="M31" s="19">
        <v>-2</v>
      </c>
      <c r="N31" s="19">
        <v>-6</v>
      </c>
      <c r="O31" s="19">
        <v>-2</v>
      </c>
    </row>
    <row r="32" spans="1:19" s="11" customFormat="1" x14ac:dyDescent="0.2">
      <c r="A32" s="19" t="s">
        <v>20</v>
      </c>
      <c r="B32" s="19">
        <f>6+10-6+7</f>
        <v>17</v>
      </c>
      <c r="C32" s="19">
        <f>-9-6+4+2</f>
        <v>-9</v>
      </c>
      <c r="D32" s="19">
        <f>12+5-9</f>
        <v>8</v>
      </c>
      <c r="E32" s="19">
        <f>-3-4-17+2</f>
        <v>-22</v>
      </c>
      <c r="F32" s="19">
        <f>14+7+3-10</f>
        <v>14</v>
      </c>
      <c r="G32" s="19">
        <f>2-2+20-28</f>
        <v>-8</v>
      </c>
      <c r="H32" s="19">
        <f>-2+1-11-1</f>
        <v>-13</v>
      </c>
      <c r="I32" s="19">
        <v>-2</v>
      </c>
      <c r="J32" s="19">
        <v>50.6</v>
      </c>
      <c r="K32" s="19">
        <v>9</v>
      </c>
      <c r="L32" s="19">
        <v>20</v>
      </c>
      <c r="M32" s="19">
        <v>-17</v>
      </c>
      <c r="N32" s="19">
        <v>30</v>
      </c>
      <c r="O32" s="19">
        <v>-15</v>
      </c>
    </row>
    <row r="33" spans="1:15"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row>
    <row r="34" spans="1:15"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row>
    <row r="35" spans="1:15" s="20" customFormat="1" x14ac:dyDescent="0.2">
      <c r="A35" s="20" t="s">
        <v>17</v>
      </c>
      <c r="B35" s="20">
        <v>16</v>
      </c>
      <c r="C35" s="20">
        <v>-12</v>
      </c>
      <c r="D35" s="20">
        <v>13</v>
      </c>
      <c r="E35" s="20">
        <v>-32</v>
      </c>
      <c r="F35" s="20">
        <v>16</v>
      </c>
      <c r="G35" s="20">
        <v>-21</v>
      </c>
      <c r="H35" s="20">
        <v>-1</v>
      </c>
      <c r="I35" s="20">
        <v>-26</v>
      </c>
      <c r="J35" s="20">
        <v>-13.799999999999997</v>
      </c>
      <c r="K35" s="20">
        <v>8</v>
      </c>
      <c r="L35" s="20">
        <v>16</v>
      </c>
      <c r="M35" s="20">
        <v>-62</v>
      </c>
      <c r="N35" s="20">
        <v>43</v>
      </c>
      <c r="O35" s="20">
        <v>-8</v>
      </c>
    </row>
    <row r="36" spans="1:15" s="11" customFormat="1" x14ac:dyDescent="0.2">
      <c r="A36" s="19" t="s">
        <v>16</v>
      </c>
      <c r="B36" s="21">
        <v>-9</v>
      </c>
      <c r="C36" s="21">
        <v>-11</v>
      </c>
      <c r="D36" s="21">
        <v>-5</v>
      </c>
      <c r="E36" s="21">
        <v>-5</v>
      </c>
      <c r="F36" s="21">
        <v>-8</v>
      </c>
      <c r="G36" s="21">
        <v>-4</v>
      </c>
      <c r="H36" s="21">
        <v>-7</v>
      </c>
      <c r="I36" s="21">
        <v>-5</v>
      </c>
      <c r="J36" s="21">
        <v>-13.899999999999999</v>
      </c>
      <c r="K36" s="21">
        <v>-15</v>
      </c>
      <c r="L36" s="21">
        <v>-14</v>
      </c>
      <c r="M36" s="21">
        <v>-14</v>
      </c>
      <c r="N36" s="21">
        <v>-18</v>
      </c>
      <c r="O36" s="21">
        <v>-11</v>
      </c>
    </row>
    <row r="37" spans="1:15" s="20" customFormat="1" x14ac:dyDescent="0.2">
      <c r="A37" s="20" t="s">
        <v>15</v>
      </c>
      <c r="B37" s="20">
        <f t="shared" ref="B37:O37" si="8">+B35+B36</f>
        <v>7</v>
      </c>
      <c r="C37" s="20">
        <f t="shared" si="8"/>
        <v>-23</v>
      </c>
      <c r="D37" s="20">
        <f t="shared" si="8"/>
        <v>8</v>
      </c>
      <c r="E37" s="20">
        <f t="shared" si="8"/>
        <v>-37</v>
      </c>
      <c r="F37" s="20">
        <f t="shared" si="8"/>
        <v>8</v>
      </c>
      <c r="G37" s="20">
        <f t="shared" si="8"/>
        <v>-25</v>
      </c>
      <c r="H37" s="20">
        <f t="shared" si="8"/>
        <v>-8</v>
      </c>
      <c r="I37" s="20">
        <f t="shared" si="8"/>
        <v>-31</v>
      </c>
      <c r="J37" s="20">
        <f t="shared" si="8"/>
        <v>-27.699999999999996</v>
      </c>
      <c r="K37" s="20">
        <f t="shared" si="8"/>
        <v>-7</v>
      </c>
      <c r="L37" s="20">
        <f t="shared" si="8"/>
        <v>2</v>
      </c>
      <c r="M37" s="20">
        <f t="shared" si="8"/>
        <v>-76</v>
      </c>
      <c r="N37" s="20">
        <f t="shared" si="8"/>
        <v>25</v>
      </c>
      <c r="O37" s="20">
        <f t="shared" si="8"/>
        <v>-19</v>
      </c>
    </row>
    <row r="39" spans="1:15" s="16" customFormat="1" x14ac:dyDescent="0.2">
      <c r="A39" s="18" t="s">
        <v>14</v>
      </c>
      <c r="B39" s="19">
        <v>0</v>
      </c>
      <c r="C39" s="19">
        <v>0</v>
      </c>
      <c r="D39" s="19">
        <v>0</v>
      </c>
      <c r="E39" s="19">
        <v>0</v>
      </c>
      <c r="F39" s="19">
        <v>0</v>
      </c>
      <c r="G39" s="19">
        <v>5</v>
      </c>
      <c r="H39" s="19">
        <v>90</v>
      </c>
      <c r="I39" s="19">
        <v>93</v>
      </c>
      <c r="J39" s="19">
        <v>94.2</v>
      </c>
      <c r="K39" s="19">
        <v>96</v>
      </c>
      <c r="L39" s="19">
        <v>104</v>
      </c>
      <c r="M39" s="19"/>
      <c r="N39" s="19"/>
      <c r="O39" s="19"/>
    </row>
    <row r="40" spans="1:15" s="16" customFormat="1" x14ac:dyDescent="0.2">
      <c r="A40" s="18" t="s">
        <v>13</v>
      </c>
      <c r="B40" s="19">
        <v>390</v>
      </c>
      <c r="C40" s="19">
        <v>380</v>
      </c>
      <c r="D40" s="19">
        <v>371</v>
      </c>
      <c r="E40" s="19">
        <f>658+6-174.9</f>
        <v>489.1</v>
      </c>
      <c r="F40" s="19">
        <f>373</f>
        <v>373</v>
      </c>
      <c r="G40" s="19">
        <v>366</v>
      </c>
      <c r="H40" s="19">
        <v>711.21231143059629</v>
      </c>
      <c r="I40" s="19">
        <v>759.90361445783128</v>
      </c>
      <c r="J40" s="19">
        <v>788.4</v>
      </c>
      <c r="K40" s="19">
        <v>741</v>
      </c>
      <c r="L40" s="19">
        <v>750</v>
      </c>
      <c r="M40" s="19"/>
      <c r="N40" s="19"/>
      <c r="O40" s="19"/>
    </row>
    <row r="41" spans="1:15" s="16" customFormat="1" x14ac:dyDescent="0.2">
      <c r="A41" s="18" t="s">
        <v>12</v>
      </c>
      <c r="B41" s="19">
        <f>B39+B40+183.3</f>
        <v>573.29999999999995</v>
      </c>
      <c r="C41" s="19">
        <f>C40+C39+180</f>
        <v>560</v>
      </c>
      <c r="D41" s="19">
        <v>557</v>
      </c>
      <c r="E41" s="19">
        <f>E39+E40+174.9</f>
        <v>664</v>
      </c>
      <c r="F41" s="19">
        <f>F39+F40+174.9</f>
        <v>547.9</v>
      </c>
      <c r="G41" s="19">
        <f>G39+G40+178</f>
        <v>549</v>
      </c>
      <c r="H41" s="19">
        <v>981</v>
      </c>
      <c r="I41" s="19">
        <v>1075.6708514731195</v>
      </c>
      <c r="J41" s="19">
        <v>1126</v>
      </c>
      <c r="K41" s="19">
        <v>1024</v>
      </c>
      <c r="L41" s="19">
        <v>1043</v>
      </c>
      <c r="M41" s="19"/>
      <c r="N41" s="19"/>
      <c r="O41" s="19"/>
    </row>
    <row r="42" spans="1:15" s="16" customFormat="1" x14ac:dyDescent="0.2">
      <c r="A42" s="18" t="s">
        <v>11</v>
      </c>
      <c r="B42" s="17">
        <v>0</v>
      </c>
      <c r="C42" s="17">
        <v>0</v>
      </c>
      <c r="D42" s="17">
        <v>0</v>
      </c>
      <c r="E42" s="17">
        <v>0</v>
      </c>
      <c r="F42" s="17">
        <v>0</v>
      </c>
      <c r="G42" s="17">
        <v>0</v>
      </c>
      <c r="H42" s="17">
        <v>0</v>
      </c>
      <c r="I42" s="17">
        <v>0</v>
      </c>
      <c r="J42" s="17">
        <v>0</v>
      </c>
      <c r="K42" s="17">
        <v>0</v>
      </c>
      <c r="L42" s="17">
        <v>0</v>
      </c>
      <c r="M42" s="17"/>
      <c r="N42" s="17"/>
      <c r="O42" s="17"/>
    </row>
    <row r="43" spans="1:15" x14ac:dyDescent="0.2">
      <c r="B43" s="16"/>
      <c r="C43" s="16"/>
      <c r="D43" s="16"/>
      <c r="E43" s="16"/>
      <c r="F43" s="16"/>
      <c r="G43" s="16"/>
      <c r="H43" s="16"/>
      <c r="I43" s="16"/>
      <c r="J43" s="16"/>
    </row>
    <row r="44" spans="1:15" x14ac:dyDescent="0.2">
      <c r="A44" s="15" t="s">
        <v>10</v>
      </c>
      <c r="B44" s="14">
        <v>51</v>
      </c>
      <c r="C44" s="14">
        <v>44</v>
      </c>
      <c r="D44" s="14">
        <v>67</v>
      </c>
      <c r="E44" s="14">
        <v>42</v>
      </c>
      <c r="F44" s="14">
        <v>80.7</v>
      </c>
      <c r="G44" s="14">
        <v>79.7</v>
      </c>
      <c r="H44" s="14">
        <v>27.700000000000003</v>
      </c>
      <c r="I44" s="14">
        <v>41.7</v>
      </c>
      <c r="J44" s="14">
        <v>43.100000000000016</v>
      </c>
      <c r="K44" s="14">
        <v>30.000000000000014</v>
      </c>
      <c r="L44" s="14">
        <v>45.000000000000014</v>
      </c>
      <c r="M44" s="14"/>
      <c r="N44" s="14"/>
      <c r="O44" s="14"/>
    </row>
    <row r="46" spans="1:15" x14ac:dyDescent="0.2">
      <c r="A46" s="1" t="s">
        <v>9</v>
      </c>
      <c r="B46" s="13">
        <f>B12+C12+D12+E12</f>
        <v>1582</v>
      </c>
      <c r="C46" s="13">
        <f>C12+D12+E12+F12</f>
        <v>1602</v>
      </c>
      <c r="D46" s="13">
        <f>D12+E12+F12+G12</f>
        <v>1635</v>
      </c>
      <c r="E46" s="13">
        <f>E12+F12+G12+H12</f>
        <v>1680</v>
      </c>
      <c r="F46" s="12">
        <v>1701</v>
      </c>
      <c r="G46" s="11"/>
      <c r="H46" s="11"/>
      <c r="I46" s="11"/>
      <c r="J46" s="11"/>
      <c r="K46" s="11"/>
      <c r="L46" s="11"/>
    </row>
    <row r="47" spans="1:15" x14ac:dyDescent="0.2">
      <c r="A47" s="1" t="s">
        <v>8</v>
      </c>
      <c r="B47" s="13">
        <f>B27</f>
        <v>59</v>
      </c>
      <c r="C47" s="13">
        <f>C27</f>
        <v>66</v>
      </c>
      <c r="D47" s="13">
        <f>D27</f>
        <v>64</v>
      </c>
      <c r="E47" s="13">
        <f>E27</f>
        <v>59</v>
      </c>
      <c r="F47" s="12">
        <v>107</v>
      </c>
      <c r="G47" s="11"/>
      <c r="H47" s="11"/>
      <c r="I47" s="11"/>
      <c r="J47" s="11"/>
      <c r="K47" s="11"/>
      <c r="L47" s="11"/>
    </row>
    <row r="48" spans="1:15" x14ac:dyDescent="0.2">
      <c r="A48" s="1" t="s">
        <v>7</v>
      </c>
      <c r="B48" s="13">
        <f>B37+C37+D37+E37</f>
        <v>-45</v>
      </c>
      <c r="C48" s="13">
        <f>C37+D37+E37+F37</f>
        <v>-44</v>
      </c>
      <c r="D48" s="13">
        <f>D37+E37+F37+G37</f>
        <v>-46</v>
      </c>
      <c r="E48" s="13">
        <f>F48</f>
        <v>7</v>
      </c>
      <c r="F48" s="12">
        <v>7</v>
      </c>
      <c r="G48" s="11"/>
      <c r="H48" s="11"/>
      <c r="I48" s="11"/>
      <c r="J48" s="11"/>
      <c r="K48" s="11"/>
      <c r="L48" s="11"/>
    </row>
    <row r="50" spans="1:15" s="10" customFormat="1" x14ac:dyDescent="0.2">
      <c r="A50" s="10" t="s">
        <v>6</v>
      </c>
      <c r="B50" s="10">
        <f>+SUM(B39:B40)/B47</f>
        <v>6.6101694915254239</v>
      </c>
      <c r="C50" s="10">
        <f>+SUM(C39:C40)/C47</f>
        <v>5.7575757575757578</v>
      </c>
      <c r="D50" s="10">
        <f>+SUM(D39:D40)/D47</f>
        <v>5.796875</v>
      </c>
      <c r="E50" s="10">
        <f>+SUM(E39:E40)/E47</f>
        <v>8.2898305084745765</v>
      </c>
      <c r="F50" s="10">
        <f>+SUM(F39:F40)/F47</f>
        <v>3.485981308411215</v>
      </c>
    </row>
    <row r="51" spans="1:15" s="10" customFormat="1" x14ac:dyDescent="0.2">
      <c r="A51" s="10" t="s">
        <v>5</v>
      </c>
      <c r="B51" s="10">
        <f>+B41/B47</f>
        <v>9.7169491525423712</v>
      </c>
      <c r="C51" s="10">
        <f>+C41/C47</f>
        <v>8.4848484848484844</v>
      </c>
      <c r="D51" s="10">
        <f>+D41/D47</f>
        <v>8.703125</v>
      </c>
      <c r="E51" s="10">
        <f>+E41/E47</f>
        <v>11.254237288135593</v>
      </c>
      <c r="F51" s="10">
        <f>+F41/F47</f>
        <v>5.1205607476635508</v>
      </c>
    </row>
    <row r="52" spans="1:15" s="10" customFormat="1" x14ac:dyDescent="0.2">
      <c r="A52" s="10" t="s">
        <v>4</v>
      </c>
      <c r="B52" s="10">
        <f>+(B41-B44)/B47</f>
        <v>8.8525423728813557</v>
      </c>
      <c r="C52" s="10">
        <f>+(C41-C44)/C47</f>
        <v>7.8181818181818183</v>
      </c>
      <c r="D52" s="10">
        <f>+(D41-D44)/D47</f>
        <v>7.65625</v>
      </c>
      <c r="E52" s="10">
        <f>+(E41-E44)/E47</f>
        <v>10.542372881355933</v>
      </c>
      <c r="F52" s="10">
        <f>+(F41-F44)/F47</f>
        <v>4.3663551401869158</v>
      </c>
    </row>
    <row r="53" spans="1:15" s="6" customFormat="1" x14ac:dyDescent="0.2">
      <c r="A53" s="6" t="s">
        <v>3</v>
      </c>
      <c r="B53" s="6">
        <f>+B48/B41</f>
        <v>-7.8492935635792779E-2</v>
      </c>
      <c r="C53" s="6">
        <f>+C48/C41</f>
        <v>-7.857142857142857E-2</v>
      </c>
      <c r="D53" s="6">
        <f>+D48/D41</f>
        <v>-8.2585278276481155E-2</v>
      </c>
      <c r="E53" s="6">
        <f>+E48/E41</f>
        <v>1.0542168674698794E-2</v>
      </c>
      <c r="F53" s="6">
        <f>+F48/F41</f>
        <v>1.2776054024457018E-2</v>
      </c>
    </row>
    <row r="54" spans="1:15" s="6" customFormat="1" x14ac:dyDescent="0.2">
      <c r="A54" s="8" t="s">
        <v>2</v>
      </c>
      <c r="B54" s="9"/>
      <c r="C54" s="9"/>
      <c r="D54" s="9"/>
      <c r="E54" s="9"/>
      <c r="F54" s="9"/>
      <c r="G54" s="9"/>
      <c r="H54" s="9"/>
      <c r="I54" s="9"/>
      <c r="J54" s="9"/>
      <c r="K54" s="9"/>
      <c r="L54" s="9"/>
      <c r="M54" s="8"/>
      <c r="N54" s="8"/>
      <c r="O54" s="8"/>
    </row>
    <row r="55" spans="1:15" s="6" customFormat="1" x14ac:dyDescent="0.2">
      <c r="A55" s="6" t="s">
        <v>1</v>
      </c>
      <c r="B55" s="7"/>
      <c r="C55" s="7"/>
      <c r="D55" s="7"/>
      <c r="E55" s="7"/>
      <c r="F55" s="7"/>
      <c r="G55" s="7"/>
      <c r="H55" s="7" t="str">
        <f>IF(H42=0,IF(H54="","","*"&amp;TEXT(H54,"0.0x")),(H41+H42-H44)/H47)</f>
        <v/>
      </c>
      <c r="I55" s="7" t="str">
        <f>IF(I42=0,IF(I54="","","*"&amp;TEXT(I54,"0.0x")),(I41+I42-I44)/I47)</f>
        <v/>
      </c>
      <c r="J55" s="7" t="str">
        <f>IF(J42=0,IF(J54="","","*"&amp;TEXT(J54,"0.0x")),(J41+J42-J44)/J47)</f>
        <v/>
      </c>
      <c r="K55" s="7" t="str">
        <f>IF(K42=0,IF(K54="","","*"&amp;TEXT(K54,"0.0x")),(K41+K42-K44)/K47)</f>
        <v/>
      </c>
      <c r="L55" s="7" t="str">
        <f>IF(L42=0,IF(L54="","","*"&amp;TEXT(L54,"0.0x")),(L41+L42-L44)/L47)</f>
        <v/>
      </c>
      <c r="M55" s="7" t="str">
        <f>IF(M42=0,IF(M54="","",CONCATENATE("* ",M54,"x")),(M41+M42-M44)/M47)</f>
        <v/>
      </c>
      <c r="N55" s="7" t="str">
        <f>IF(N42=0,IF(N54="","",CONCATENATE("* ",N54,"x")),(N41+N42-N44)/N47)</f>
        <v/>
      </c>
      <c r="O55" s="7" t="str">
        <f>IF(O42=0,IF(O54="","",CONCATENATE("* ",O54,"x")),(O41+O42-O44)/O47)</f>
        <v/>
      </c>
    </row>
    <row r="56" spans="1:15" x14ac:dyDescent="0.2">
      <c r="L56" s="3"/>
    </row>
    <row r="57" spans="1:15" ht="80.25" customHeight="1" x14ac:dyDescent="0.2">
      <c r="A57" s="5" t="s">
        <v>0</v>
      </c>
      <c r="B57" s="4" t="s">
        <v>230</v>
      </c>
      <c r="C57" s="4" t="s">
        <v>230</v>
      </c>
      <c r="D57" s="4" t="s">
        <v>230</v>
      </c>
      <c r="E57" s="4" t="s">
        <v>172</v>
      </c>
      <c r="F57" s="4" t="s">
        <v>172</v>
      </c>
      <c r="G57" s="4"/>
      <c r="H57" s="4"/>
      <c r="I57" s="4"/>
      <c r="J57" s="4"/>
      <c r="K57" s="4"/>
      <c r="L57" s="4"/>
      <c r="M57" s="4"/>
      <c r="N57" s="4"/>
      <c r="O57" s="4"/>
    </row>
    <row r="58" spans="1:15" x14ac:dyDescent="0.2">
      <c r="A58" s="2"/>
      <c r="B58" s="3"/>
      <c r="C58" s="3"/>
      <c r="D58" s="3"/>
      <c r="E58" s="3"/>
      <c r="F58" s="3"/>
      <c r="G58" s="3"/>
      <c r="H58" s="3"/>
    </row>
    <row r="59" spans="1:15" x14ac:dyDescent="0.2">
      <c r="A59" s="2"/>
    </row>
  </sheetData>
  <pageMargins left="0.7" right="0.7" top="0.75" bottom="0.75" header="0.3" footer="0.3"/>
  <pageSetup orientation="portrait" r:id="rId1"/>
  <ignoredErrors>
    <ignoredError sqref="D50" formulaRange="1"/>
  </ignoredError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G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6" width="10.7109375" style="1" customWidth="1"/>
    <col min="27" max="29" width="10.85546875" style="1" bestFit="1" customWidth="1"/>
    <col min="30" max="32" width="9.140625" style="1"/>
    <col min="33" max="33" width="9.7109375" style="1" bestFit="1" customWidth="1"/>
    <col min="34" max="16384" width="9.140625" style="1"/>
  </cols>
  <sheetData>
    <row r="2" spans="1:33" x14ac:dyDescent="0.2">
      <c r="A2" s="34" t="s">
        <v>45</v>
      </c>
      <c r="B2" s="1" t="s">
        <v>77</v>
      </c>
    </row>
    <row r="3" spans="1:33" s="35" customFormat="1" x14ac:dyDescent="0.2">
      <c r="A3" s="36" t="s">
        <v>43</v>
      </c>
      <c r="B3" s="35" t="s">
        <v>111</v>
      </c>
    </row>
    <row r="4" spans="1:33" x14ac:dyDescent="0.2">
      <c r="A4" s="34" t="s">
        <v>41</v>
      </c>
      <c r="B4" s="1" t="s">
        <v>40</v>
      </c>
    </row>
    <row r="5" spans="1:33" x14ac:dyDescent="0.2">
      <c r="A5" s="34" t="s">
        <v>39</v>
      </c>
    </row>
    <row r="6" spans="1:33" x14ac:dyDescent="0.2">
      <c r="A6" s="34" t="s">
        <v>38</v>
      </c>
      <c r="B6" s="1">
        <v>3</v>
      </c>
    </row>
    <row r="7" spans="1:33" x14ac:dyDescent="0.2">
      <c r="A7" s="34" t="s">
        <v>37</v>
      </c>
      <c r="B7" s="1" t="s">
        <v>157</v>
      </c>
    </row>
    <row r="8" spans="1:33" x14ac:dyDescent="0.2">
      <c r="A8" s="34" t="s">
        <v>281</v>
      </c>
      <c r="B8" s="1" t="s">
        <v>314</v>
      </c>
    </row>
    <row r="9" spans="1:33" x14ac:dyDescent="0.2">
      <c r="A9" s="22"/>
    </row>
    <row r="10" spans="1:33"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f>EOMONTH(S10,3)</f>
        <v>42916</v>
      </c>
      <c r="S10" s="33">
        <v>42825</v>
      </c>
      <c r="T10" s="33">
        <f t="shared" ref="T10:Z10" si="0">EOMONTH(S10,-3)</f>
        <v>42735</v>
      </c>
      <c r="U10" s="33">
        <f t="shared" si="0"/>
        <v>42643</v>
      </c>
      <c r="V10" s="33">
        <f t="shared" si="0"/>
        <v>42551</v>
      </c>
      <c r="W10" s="33">
        <f t="shared" si="0"/>
        <v>42460</v>
      </c>
      <c r="X10" s="33">
        <f t="shared" si="0"/>
        <v>42369</v>
      </c>
      <c r="Y10" s="33">
        <f t="shared" si="0"/>
        <v>42277</v>
      </c>
      <c r="Z10" s="33">
        <f t="shared" si="0"/>
        <v>42185</v>
      </c>
      <c r="AG10" s="33">
        <f>EOMONTH(Z10,-3)</f>
        <v>42094</v>
      </c>
    </row>
    <row r="12" spans="1:33" x14ac:dyDescent="0.2">
      <c r="A12" s="15" t="s">
        <v>35</v>
      </c>
      <c r="B12" s="19">
        <v>75.362695000000002</v>
      </c>
      <c r="C12" s="19">
        <v>93.637304999999998</v>
      </c>
      <c r="D12" s="19">
        <v>78.469965999999999</v>
      </c>
      <c r="E12" s="19">
        <v>82.067999999999998</v>
      </c>
      <c r="F12" s="19">
        <v>41.494</v>
      </c>
      <c r="G12" s="19">
        <v>74.214614999999995</v>
      </c>
      <c r="H12" s="19">
        <v>70.613047999999992</v>
      </c>
      <c r="I12" s="19">
        <v>75.632586000000003</v>
      </c>
      <c r="J12" s="19">
        <v>72.015000000000001</v>
      </c>
      <c r="K12" s="19">
        <v>76.196946999999994</v>
      </c>
      <c r="L12" s="19">
        <f>263.144373-M12-N12-O12</f>
        <v>59.357488000000004</v>
      </c>
      <c r="M12" s="19">
        <v>65.456188999999995</v>
      </c>
      <c r="N12" s="19">
        <v>66.706667999999993</v>
      </c>
      <c r="O12" s="19">
        <v>71.624027999999996</v>
      </c>
      <c r="P12" s="19">
        <f>244.637327-Q12-R12-S12</f>
        <v>56.928047000000007</v>
      </c>
      <c r="Q12" s="19">
        <v>61.289279999999998</v>
      </c>
      <c r="R12" s="19">
        <v>59.847999999999999</v>
      </c>
      <c r="S12" s="19">
        <v>66.572000000000003</v>
      </c>
      <c r="T12" s="19">
        <f>226.292874-U12-V12-W12</f>
        <v>53.330874000000016</v>
      </c>
      <c r="U12" s="19">
        <v>57.277999999999999</v>
      </c>
      <c r="V12" s="19">
        <v>54.673000000000002</v>
      </c>
      <c r="W12" s="19">
        <v>61.011000000000003</v>
      </c>
      <c r="X12" s="19">
        <v>48.67647199999999</v>
      </c>
      <c r="Y12" s="19">
        <v>53.533000000000001</v>
      </c>
      <c r="Z12" s="19">
        <v>50.24</v>
      </c>
    </row>
    <row r="13" spans="1:33" s="28" customFormat="1" x14ac:dyDescent="0.2">
      <c r="A13" s="28" t="s">
        <v>34</v>
      </c>
      <c r="B13" s="28">
        <f t="shared" ref="B13:V13" si="1">+B12/F12-1</f>
        <v>0.81623114185183399</v>
      </c>
      <c r="C13" s="28">
        <f t="shared" si="1"/>
        <v>0.26170977239456139</v>
      </c>
      <c r="D13" s="28">
        <f t="shared" si="1"/>
        <v>0.1112672264196839</v>
      </c>
      <c r="E13" s="28">
        <f t="shared" si="1"/>
        <v>8.5087848245728237E-2</v>
      </c>
      <c r="F13" s="28">
        <f t="shared" si="1"/>
        <v>-0.42381448309379988</v>
      </c>
      <c r="G13" s="28">
        <f t="shared" si="1"/>
        <v>-2.6015897986043979E-2</v>
      </c>
      <c r="H13" s="28">
        <f t="shared" si="1"/>
        <v>0.18962325359860221</v>
      </c>
      <c r="I13" s="28">
        <f t="shared" si="1"/>
        <v>0.15546882816535512</v>
      </c>
      <c r="J13" s="28">
        <f t="shared" si="1"/>
        <v>7.9577232069213855E-2</v>
      </c>
      <c r="K13" s="28">
        <f t="shared" si="1"/>
        <v>6.3846157884334565E-2</v>
      </c>
      <c r="L13" s="28">
        <f t="shared" si="1"/>
        <v>4.2675642816272896E-2</v>
      </c>
      <c r="M13" s="28">
        <f t="shared" si="1"/>
        <v>6.7987566504289054E-2</v>
      </c>
      <c r="N13" s="28">
        <f t="shared" si="1"/>
        <v>0.11460145702446178</v>
      </c>
      <c r="O13" s="28">
        <f t="shared" si="1"/>
        <v>7.5888181217328432E-2</v>
      </c>
      <c r="P13" s="28">
        <f t="shared" si="1"/>
        <v>6.745010404292251E-2</v>
      </c>
      <c r="Q13" s="28">
        <f t="shared" si="1"/>
        <v>7.0031774852473916E-2</v>
      </c>
      <c r="R13" s="28">
        <f t="shared" si="1"/>
        <v>9.46536681725898E-2</v>
      </c>
      <c r="S13" s="28">
        <f t="shared" si="1"/>
        <v>9.1147497992165372E-2</v>
      </c>
      <c r="T13" s="28">
        <f t="shared" si="1"/>
        <v>9.5619131969959303E-2</v>
      </c>
      <c r="U13" s="28">
        <f t="shared" si="1"/>
        <v>6.9956849046382663E-2</v>
      </c>
      <c r="V13" s="28">
        <f t="shared" si="1"/>
        <v>8.823646496815285E-2</v>
      </c>
    </row>
    <row r="14" spans="1:33"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2" t="s">
        <v>32</v>
      </c>
      <c r="W14" s="31"/>
      <c r="X14" s="31"/>
      <c r="Y14" s="31"/>
      <c r="Z14" s="31"/>
    </row>
    <row r="16" spans="1:33" s="22" customFormat="1" x14ac:dyDescent="0.2">
      <c r="A16" s="30" t="s">
        <v>31</v>
      </c>
      <c r="B16" s="29">
        <v>27.997000000000025</v>
      </c>
      <c r="C16" s="29">
        <v>27.545000000000002</v>
      </c>
      <c r="D16" s="29">
        <v>32.060999999999979</v>
      </c>
      <c r="E16" s="29">
        <v>23.696999999999999</v>
      </c>
      <c r="F16" s="29">
        <v>2.1309999999999998</v>
      </c>
      <c r="G16" s="29">
        <v>20.434000000000001</v>
      </c>
      <c r="H16" s="29">
        <v>37.466161999999997</v>
      </c>
      <c r="I16" s="29">
        <v>20.873000000000001</v>
      </c>
      <c r="J16" s="29">
        <v>21.265999999999998</v>
      </c>
      <c r="K16" s="29">
        <v>25.003</v>
      </c>
      <c r="L16" s="29">
        <v>30.532000000000004</v>
      </c>
      <c r="M16" s="29">
        <v>17.048999999999999</v>
      </c>
      <c r="N16" s="29">
        <v>20.353999999999999</v>
      </c>
      <c r="O16" s="29">
        <v>23.861000000000001</v>
      </c>
      <c r="P16" s="29"/>
      <c r="Q16" s="29"/>
      <c r="R16" s="29">
        <f>70-U16-T16-S16</f>
        <v>18.631000000000007</v>
      </c>
      <c r="S16" s="29">
        <v>21.518999999999998</v>
      </c>
      <c r="T16" s="29">
        <f>65.107-W16-V16-U16</f>
        <v>14.202999999999994</v>
      </c>
      <c r="U16" s="29">
        <v>15.647</v>
      </c>
      <c r="V16" s="29">
        <v>14.771000000000001</v>
      </c>
      <c r="W16" s="29">
        <v>20.486000000000004</v>
      </c>
      <c r="X16" s="29">
        <f>56.739-AG16-Z16-Y16</f>
        <v>12.500999999999994</v>
      </c>
      <c r="Y16" s="29">
        <v>13.349</v>
      </c>
      <c r="Z16" s="29">
        <v>12.884</v>
      </c>
      <c r="AG16" s="22">
        <v>18.004999999999999</v>
      </c>
    </row>
    <row r="17" spans="1:33" s="28" customFormat="1" x14ac:dyDescent="0.2">
      <c r="A17" s="28" t="s">
        <v>30</v>
      </c>
      <c r="B17" s="28">
        <f t="shared" ref="B17:C17" si="2">+B16/B12</f>
        <v>0.37149679957703241</v>
      </c>
      <c r="C17" s="28">
        <f t="shared" si="2"/>
        <v>0.29416694553522232</v>
      </c>
      <c r="D17" s="28">
        <f t="shared" ref="D17" si="3">+D16/D12</f>
        <v>0.40857670309172783</v>
      </c>
      <c r="E17" s="28">
        <f t="shared" ref="E17:F17" si="4">+E16/E12</f>
        <v>0.2887483550226641</v>
      </c>
      <c r="F17" s="28">
        <f t="shared" si="4"/>
        <v>5.1356822673157561E-2</v>
      </c>
      <c r="G17" s="28">
        <f t="shared" ref="G17:H17" si="5">+G16/G12</f>
        <v>0.27533660317445563</v>
      </c>
      <c r="H17" s="28">
        <f t="shared" si="5"/>
        <v>0.53058412094036789</v>
      </c>
      <c r="I17" s="28">
        <f t="shared" ref="I17:J17" si="6">+I16/I12</f>
        <v>0.27597892791871481</v>
      </c>
      <c r="J17" s="28">
        <f t="shared" si="6"/>
        <v>0.29529959036311876</v>
      </c>
      <c r="K17" s="28">
        <f t="shared" ref="K17:L17" si="7">+K16/K12</f>
        <v>0.32813650657158222</v>
      </c>
      <c r="L17" s="28">
        <f t="shared" si="7"/>
        <v>0.5143748670765852</v>
      </c>
      <c r="M17" s="28">
        <f t="shared" ref="M17:O17" si="8">+M16/M12</f>
        <v>0.26046429314728359</v>
      </c>
      <c r="N17" s="28">
        <f t="shared" si="8"/>
        <v>0.30512691774681355</v>
      </c>
      <c r="O17" s="28">
        <f t="shared" si="8"/>
        <v>0.33314239182415156</v>
      </c>
      <c r="R17" s="28">
        <f t="shared" ref="R17:Z17" si="9">+R16/R12</f>
        <v>0.31130530677716894</v>
      </c>
      <c r="S17" s="28">
        <f t="shared" si="9"/>
        <v>0.32324400648921464</v>
      </c>
      <c r="T17" s="28">
        <f t="shared" si="9"/>
        <v>0.26631853061324273</v>
      </c>
      <c r="U17" s="28">
        <f t="shared" si="9"/>
        <v>0.2731764377247809</v>
      </c>
      <c r="V17" s="28">
        <f t="shared" si="9"/>
        <v>0.27016991933861323</v>
      </c>
      <c r="W17" s="28">
        <f t="shared" si="9"/>
        <v>0.33577551589057714</v>
      </c>
      <c r="X17" s="28">
        <f t="shared" si="9"/>
        <v>0.25681811943971611</v>
      </c>
      <c r="Y17" s="28">
        <f t="shared" si="9"/>
        <v>0.24936020772233949</v>
      </c>
      <c r="Z17" s="28">
        <f t="shared" si="9"/>
        <v>0.25644904458598727</v>
      </c>
    </row>
    <row r="18" spans="1:33" s="23" customFormat="1" x14ac:dyDescent="0.2"/>
    <row r="19" spans="1:33"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c r="Q19" s="19"/>
      <c r="R19" s="19">
        <v>0</v>
      </c>
      <c r="S19" s="19">
        <v>0</v>
      </c>
      <c r="T19" s="19">
        <v>0</v>
      </c>
      <c r="U19" s="19">
        <v>0</v>
      </c>
      <c r="V19" s="19">
        <v>0</v>
      </c>
      <c r="W19" s="19">
        <v>0</v>
      </c>
      <c r="X19" s="19">
        <v>0</v>
      </c>
      <c r="Y19" s="19">
        <v>0</v>
      </c>
      <c r="Z19" s="19">
        <v>0</v>
      </c>
    </row>
    <row r="20" spans="1:33"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c r="Q20" s="19"/>
      <c r="R20" s="19">
        <v>0</v>
      </c>
      <c r="S20" s="19">
        <v>0</v>
      </c>
      <c r="T20" s="19">
        <v>0</v>
      </c>
      <c r="U20" s="19">
        <v>0</v>
      </c>
      <c r="V20" s="19">
        <v>0</v>
      </c>
      <c r="W20" s="19">
        <v>0</v>
      </c>
      <c r="X20" s="19">
        <v>0</v>
      </c>
      <c r="Y20" s="19">
        <v>0</v>
      </c>
      <c r="Z20" s="19">
        <v>0</v>
      </c>
    </row>
    <row r="21" spans="1:33"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c r="Q21" s="19"/>
      <c r="R21" s="19">
        <v>0</v>
      </c>
      <c r="S21" s="19">
        <v>0</v>
      </c>
      <c r="T21" s="19">
        <f>T22-T16-T19-T20</f>
        <v>2.8490000000000091</v>
      </c>
      <c r="U21" s="19">
        <f>U22-U16-U19-U20</f>
        <v>1.8519999999999985</v>
      </c>
      <c r="V21" s="19">
        <f>V22-V16-V19-V20</f>
        <v>1.6509999999999998</v>
      </c>
      <c r="W21" s="19">
        <v>0</v>
      </c>
      <c r="X21" s="19">
        <v>0</v>
      </c>
      <c r="Y21" s="19">
        <f>Y22-Y16-Y19-Y20</f>
        <v>1.8520000000000003</v>
      </c>
      <c r="Z21" s="19">
        <f>Z22-Z16-Z19-Z20</f>
        <v>1.3149999999999995</v>
      </c>
    </row>
    <row r="22" spans="1:33" s="22" customFormat="1" x14ac:dyDescent="0.2">
      <c r="A22" s="22" t="s">
        <v>23</v>
      </c>
      <c r="B22" s="20">
        <f t="shared" ref="B22:C22" si="10">SUM(B16,B19:B21)</f>
        <v>27.997000000000025</v>
      </c>
      <c r="C22" s="20">
        <f t="shared" si="10"/>
        <v>27.545000000000002</v>
      </c>
      <c r="D22" s="20">
        <f t="shared" ref="D22:E22" si="11">SUM(D16,D19:D21)</f>
        <v>32.060999999999979</v>
      </c>
      <c r="E22" s="20">
        <f t="shared" si="11"/>
        <v>23.696999999999999</v>
      </c>
      <c r="F22" s="20">
        <f t="shared" ref="F22:G22" si="12">SUM(F16,F19:F21)</f>
        <v>2.1309999999999998</v>
      </c>
      <c r="G22" s="20">
        <f t="shared" si="12"/>
        <v>20.434000000000001</v>
      </c>
      <c r="H22" s="20">
        <f t="shared" ref="H22:I22" si="13">SUM(H16,H19:H21)</f>
        <v>37.466161999999997</v>
      </c>
      <c r="I22" s="20">
        <f t="shared" si="13"/>
        <v>20.873000000000001</v>
      </c>
      <c r="J22" s="20">
        <f t="shared" ref="J22:O22" si="14">SUM(J16,J19:J21)</f>
        <v>21.265999999999998</v>
      </c>
      <c r="K22" s="20">
        <f t="shared" si="14"/>
        <v>25.003</v>
      </c>
      <c r="L22" s="20">
        <f t="shared" si="14"/>
        <v>30.532000000000004</v>
      </c>
      <c r="M22" s="20">
        <f t="shared" si="14"/>
        <v>17.048999999999999</v>
      </c>
      <c r="N22" s="20">
        <f t="shared" si="14"/>
        <v>20.353999999999999</v>
      </c>
      <c r="O22" s="20">
        <f t="shared" si="14"/>
        <v>23.861000000000001</v>
      </c>
      <c r="P22" s="20"/>
      <c r="Q22" s="20"/>
      <c r="R22" s="20">
        <f>SUM(R16,R19:R21)</f>
        <v>18.631000000000007</v>
      </c>
      <c r="S22" s="20">
        <f>SUM(S16,S19:S21)</f>
        <v>21.518999999999998</v>
      </c>
      <c r="T22" s="20">
        <f>71.459-W22-V22-U22</f>
        <v>17.052000000000003</v>
      </c>
      <c r="U22" s="20">
        <v>17.498999999999999</v>
      </c>
      <c r="V22" s="20">
        <v>16.422000000000001</v>
      </c>
      <c r="W22" s="20">
        <f>SUM(W16,W19:W21)</f>
        <v>20.486000000000004</v>
      </c>
      <c r="X22" s="55">
        <f>62.633-AG22-Z22-Y22</f>
        <v>13.567</v>
      </c>
      <c r="Y22" s="20">
        <v>15.201000000000001</v>
      </c>
      <c r="Z22" s="20">
        <v>14.199</v>
      </c>
      <c r="AG22" s="22">
        <v>19.666</v>
      </c>
    </row>
    <row r="23" spans="1:33" s="22" customFormat="1" x14ac:dyDescent="0.2">
      <c r="B23" s="28"/>
      <c r="C23" s="28"/>
      <c r="D23" s="28"/>
      <c r="E23" s="28"/>
      <c r="F23" s="28"/>
      <c r="G23" s="28"/>
      <c r="H23" s="28"/>
      <c r="I23" s="20"/>
      <c r="J23" s="20"/>
      <c r="K23" s="20"/>
      <c r="L23" s="20"/>
      <c r="M23" s="20"/>
      <c r="N23" s="20"/>
      <c r="O23" s="20"/>
      <c r="P23" s="20"/>
      <c r="Q23" s="20"/>
      <c r="R23" s="20"/>
      <c r="S23" s="20"/>
      <c r="T23" s="20"/>
      <c r="U23" s="20"/>
      <c r="V23" s="20"/>
      <c r="W23" s="20"/>
      <c r="X23" s="20"/>
      <c r="Y23" s="20"/>
      <c r="Z23" s="20"/>
    </row>
    <row r="24" spans="1:33" s="22" customFormat="1" x14ac:dyDescent="0.2">
      <c r="A24" s="22" t="s">
        <v>27</v>
      </c>
      <c r="B24" s="63">
        <f t="shared" ref="B24:K24" si="15">SUM(B22:E22)</f>
        <v>111.30000000000001</v>
      </c>
      <c r="C24" s="63">
        <f t="shared" si="15"/>
        <v>85.433999999999983</v>
      </c>
      <c r="D24" s="63">
        <f t="shared" si="15"/>
        <v>78.322999999999979</v>
      </c>
      <c r="E24" s="63">
        <f t="shared" si="15"/>
        <v>83.728161999999998</v>
      </c>
      <c r="F24" s="63">
        <f t="shared" si="15"/>
        <v>80.904161999999999</v>
      </c>
      <c r="G24" s="63">
        <f t="shared" si="15"/>
        <v>100.039162</v>
      </c>
      <c r="H24" s="63">
        <f t="shared" si="15"/>
        <v>104.60816200000001</v>
      </c>
      <c r="I24" s="63">
        <f t="shared" si="15"/>
        <v>97.674000000000007</v>
      </c>
      <c r="J24" s="63">
        <f t="shared" si="15"/>
        <v>93.85</v>
      </c>
      <c r="K24" s="63">
        <f t="shared" si="15"/>
        <v>92.938000000000002</v>
      </c>
      <c r="L24" s="61">
        <v>80.144999999999996</v>
      </c>
      <c r="M24" s="61">
        <v>79.597999999999999</v>
      </c>
      <c r="N24" s="61">
        <v>79.096999999999994</v>
      </c>
      <c r="O24" s="20"/>
      <c r="P24" s="61">
        <v>75.781000000000006</v>
      </c>
      <c r="Q24" s="20"/>
      <c r="R24" s="20">
        <f t="shared" ref="R24:W24" si="16">SUM(R22:U22)</f>
        <v>74.701000000000008</v>
      </c>
      <c r="S24" s="20">
        <f t="shared" si="16"/>
        <v>72.49199999999999</v>
      </c>
      <c r="T24" s="20">
        <f t="shared" si="16"/>
        <v>71.459000000000003</v>
      </c>
      <c r="U24" s="20">
        <f t="shared" si="16"/>
        <v>67.974000000000004</v>
      </c>
      <c r="V24" s="20">
        <f t="shared" si="16"/>
        <v>65.676000000000002</v>
      </c>
      <c r="W24" s="20">
        <f t="shared" si="16"/>
        <v>63.453000000000003</v>
      </c>
      <c r="X24" s="20"/>
      <c r="Y24" s="20"/>
      <c r="Z24" s="20"/>
    </row>
    <row r="25" spans="1:33"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c r="P25" s="27">
        <v>0</v>
      </c>
      <c r="Q25" s="27"/>
      <c r="R25" s="27">
        <f>R27-R24</f>
        <v>-1.0000000000047748E-3</v>
      </c>
      <c r="S25" s="27">
        <f>S27-S24</f>
        <v>-0.7809999999999917</v>
      </c>
      <c r="T25" s="27">
        <f>T27-T24</f>
        <v>4.0999999999996817E-2</v>
      </c>
      <c r="U25" s="27">
        <v>0</v>
      </c>
      <c r="V25" s="27">
        <f>66.875-V24</f>
        <v>1.1989999999999981</v>
      </c>
      <c r="W25" s="27">
        <f>64.651-W24</f>
        <v>1.1979999999999933</v>
      </c>
      <c r="X25" s="27"/>
      <c r="Y25" s="27"/>
      <c r="Z25" s="27"/>
    </row>
    <row r="26" spans="1:33" s="23" customFormat="1" x14ac:dyDescent="0.2">
      <c r="A26" s="15" t="s">
        <v>25</v>
      </c>
      <c r="B26" s="21">
        <f>111.3-B25-B24</f>
        <v>0</v>
      </c>
      <c r="C26" s="21">
        <f>85.523-C25-C24</f>
        <v>8.9000000000012847E-2</v>
      </c>
      <c r="D26" s="21">
        <f>78.323-D25-D24</f>
        <v>0</v>
      </c>
      <c r="E26" s="21">
        <f>80.532-E25-E24</f>
        <v>-3.1961620000000011</v>
      </c>
      <c r="F26" s="21">
        <f>79.073-F25-F24</f>
        <v>-1.8311620000000062</v>
      </c>
      <c r="G26" s="21">
        <f>90.8-G25-G24</f>
        <v>-9.2391620000000074</v>
      </c>
      <c r="H26" s="21">
        <f>100.588-H25-H24</f>
        <v>-4.0201620000000133</v>
      </c>
      <c r="I26" s="21">
        <f>94.06-I25-I24</f>
        <v>-3.6140000000000043</v>
      </c>
      <c r="J26" s="21">
        <f>90.702-J25-J24</f>
        <v>-3.1479999999999961</v>
      </c>
      <c r="K26" s="21">
        <f>90.8-K25-K24</f>
        <v>-2.1380000000000052</v>
      </c>
      <c r="L26" s="21">
        <f>91.796-L25-L24</f>
        <v>11.65100000000001</v>
      </c>
      <c r="M26" s="21">
        <f>89.279-M25-M24</f>
        <v>9.6809999999999974</v>
      </c>
      <c r="N26" s="21">
        <f>87.853-N25-N24</f>
        <v>8.7560000000000002</v>
      </c>
      <c r="O26" s="21"/>
      <c r="P26" s="21">
        <f>84.751-P25-P24</f>
        <v>8.9699999999999989</v>
      </c>
      <c r="Q26" s="21"/>
      <c r="R26" s="21">
        <v>0</v>
      </c>
      <c r="S26" s="21">
        <v>0</v>
      </c>
      <c r="T26" s="21">
        <v>0</v>
      </c>
      <c r="U26" s="21">
        <v>0</v>
      </c>
      <c r="V26" s="21">
        <v>0</v>
      </c>
      <c r="W26" s="21">
        <v>0</v>
      </c>
      <c r="X26" s="26"/>
      <c r="Y26" s="26"/>
      <c r="Z26" s="26"/>
    </row>
    <row r="27" spans="1:33" s="24" customFormat="1" x14ac:dyDescent="0.2">
      <c r="A27" s="22" t="s">
        <v>24</v>
      </c>
      <c r="B27" s="20">
        <f t="shared" ref="B27:E27" si="17">B24+B25+B26</f>
        <v>111.30000000000001</v>
      </c>
      <c r="C27" s="20">
        <f t="shared" si="17"/>
        <v>85.522999999999996</v>
      </c>
      <c r="D27" s="20">
        <f t="shared" si="17"/>
        <v>78.322999999999979</v>
      </c>
      <c r="E27" s="20">
        <f t="shared" si="17"/>
        <v>80.531999999999996</v>
      </c>
      <c r="F27" s="20">
        <f t="shared" ref="F27:G27" si="18">F24+F25+F26</f>
        <v>79.072999999999993</v>
      </c>
      <c r="G27" s="20">
        <f t="shared" si="18"/>
        <v>90.8</v>
      </c>
      <c r="H27" s="20">
        <f t="shared" ref="H27:N27" si="19">H24+H25+H26</f>
        <v>100.58799999999999</v>
      </c>
      <c r="I27" s="20">
        <f t="shared" si="19"/>
        <v>94.06</v>
      </c>
      <c r="J27" s="20">
        <f t="shared" si="19"/>
        <v>90.701999999999998</v>
      </c>
      <c r="K27" s="20">
        <f t="shared" si="19"/>
        <v>90.8</v>
      </c>
      <c r="L27" s="20">
        <f t="shared" si="19"/>
        <v>91.796000000000006</v>
      </c>
      <c r="M27" s="20">
        <f t="shared" si="19"/>
        <v>89.278999999999996</v>
      </c>
      <c r="N27" s="20">
        <f t="shared" si="19"/>
        <v>87.852999999999994</v>
      </c>
      <c r="O27" s="20"/>
      <c r="P27" s="20">
        <f>P24+P25+P26</f>
        <v>84.751000000000005</v>
      </c>
      <c r="Q27" s="20"/>
      <c r="R27" s="20">
        <v>74.7</v>
      </c>
      <c r="S27" s="20">
        <v>71.710999999999999</v>
      </c>
      <c r="T27" s="20">
        <v>71.5</v>
      </c>
      <c r="U27" s="20">
        <f>SUM(U24:U26)</f>
        <v>67.974000000000004</v>
      </c>
      <c r="V27" s="20">
        <f>SUM(V24:V26)</f>
        <v>66.875</v>
      </c>
      <c r="W27" s="20">
        <f>SUM(W24:W26)</f>
        <v>64.650999999999996</v>
      </c>
      <c r="X27" s="25"/>
      <c r="Y27" s="25"/>
      <c r="Z27" s="25"/>
    </row>
    <row r="28" spans="1:33" s="23" customFormat="1" x14ac:dyDescent="0.2"/>
    <row r="29" spans="1:33" s="22" customFormat="1" x14ac:dyDescent="0.2">
      <c r="A29" s="22" t="s">
        <v>23</v>
      </c>
      <c r="B29" s="20">
        <f t="shared" ref="B29:E29" si="20">B22</f>
        <v>27.997000000000025</v>
      </c>
      <c r="C29" s="20">
        <f t="shared" si="20"/>
        <v>27.545000000000002</v>
      </c>
      <c r="D29" s="20">
        <f t="shared" si="20"/>
        <v>32.060999999999979</v>
      </c>
      <c r="E29" s="20">
        <f t="shared" si="20"/>
        <v>23.696999999999999</v>
      </c>
      <c r="F29" s="20">
        <f t="shared" ref="F29:G29" si="21">F22</f>
        <v>2.1309999999999998</v>
      </c>
      <c r="G29" s="20">
        <f t="shared" si="21"/>
        <v>20.434000000000001</v>
      </c>
      <c r="H29" s="20">
        <f t="shared" ref="H29:O29" si="22">H22</f>
        <v>37.466161999999997</v>
      </c>
      <c r="I29" s="20">
        <f t="shared" si="22"/>
        <v>20.873000000000001</v>
      </c>
      <c r="J29" s="20">
        <f t="shared" si="22"/>
        <v>21.265999999999998</v>
      </c>
      <c r="K29" s="20">
        <f t="shared" si="22"/>
        <v>25.003</v>
      </c>
      <c r="L29" s="20">
        <f t="shared" si="22"/>
        <v>30.532000000000004</v>
      </c>
      <c r="M29" s="20">
        <f t="shared" si="22"/>
        <v>17.048999999999999</v>
      </c>
      <c r="N29" s="20">
        <f t="shared" si="22"/>
        <v>20.353999999999999</v>
      </c>
      <c r="O29" s="20">
        <f t="shared" si="22"/>
        <v>23.861000000000001</v>
      </c>
      <c r="P29" s="20"/>
      <c r="Q29" s="20"/>
      <c r="R29" s="20">
        <f t="shared" ref="R29:Z29" si="23">R22</f>
        <v>18.631000000000007</v>
      </c>
      <c r="S29" s="20">
        <f t="shared" si="23"/>
        <v>21.518999999999998</v>
      </c>
      <c r="T29" s="20">
        <f t="shared" si="23"/>
        <v>17.052000000000003</v>
      </c>
      <c r="U29" s="20">
        <f t="shared" si="23"/>
        <v>17.498999999999999</v>
      </c>
      <c r="V29" s="20">
        <f t="shared" si="23"/>
        <v>16.422000000000001</v>
      </c>
      <c r="W29" s="20">
        <f t="shared" si="23"/>
        <v>20.486000000000004</v>
      </c>
      <c r="X29" s="20">
        <f t="shared" si="23"/>
        <v>13.567</v>
      </c>
      <c r="Y29" s="20">
        <f t="shared" si="23"/>
        <v>15.201000000000001</v>
      </c>
      <c r="Z29" s="20">
        <f t="shared" si="23"/>
        <v>14.199</v>
      </c>
    </row>
    <row r="30" spans="1:33" s="11" customFormat="1" x14ac:dyDescent="0.2">
      <c r="A30" s="19" t="s">
        <v>22</v>
      </c>
      <c r="B30" s="19">
        <v>-6.5175539999999996</v>
      </c>
      <c r="C30" s="19">
        <v>-6.5175539999999996</v>
      </c>
      <c r="D30" s="19">
        <v>-3.535225999999998</v>
      </c>
      <c r="E30" s="19">
        <v>-6.6540980000000003</v>
      </c>
      <c r="F30" s="19">
        <v>-6.4664149999999996</v>
      </c>
      <c r="G30" s="19">
        <v>-7.0415140000000003</v>
      </c>
      <c r="H30" s="19">
        <v>-6.9221690000000002</v>
      </c>
      <c r="I30" s="19">
        <v>-7.381983</v>
      </c>
      <c r="J30" s="19">
        <f>-14.908103-K30</f>
        <v>-7.3731890000000009</v>
      </c>
      <c r="K30" s="19">
        <v>-7.5349139999999997</v>
      </c>
      <c r="L30" s="19">
        <v>-7.3553619999999995</v>
      </c>
      <c r="M30" s="19">
        <v>-7.3236860000000004</v>
      </c>
      <c r="N30" s="19">
        <v>-7.102093</v>
      </c>
      <c r="O30" s="19">
        <v>-6.8424069999999997</v>
      </c>
      <c r="P30" s="19">
        <f>-24.557119-Q30-R30-S30</f>
        <v>-6.4352389999999993</v>
      </c>
      <c r="Q30" s="19">
        <v>-10.42388</v>
      </c>
      <c r="R30" s="19">
        <v>-3.9279999999999999</v>
      </c>
      <c r="S30" s="19">
        <v>-3.77</v>
      </c>
      <c r="T30" s="19">
        <f>-15.581451-U30-V30-W30</f>
        <v>-3.8894509999999998</v>
      </c>
      <c r="U30" s="19">
        <v>-3.9239999999999999</v>
      </c>
      <c r="V30" s="19">
        <v>-3.8839999999999999</v>
      </c>
      <c r="W30" s="19">
        <v>-3.8839999999999999</v>
      </c>
      <c r="X30" s="19">
        <v>-3.9262130000000006</v>
      </c>
      <c r="Y30" s="19">
        <v>-4.0810000000000004</v>
      </c>
      <c r="Z30" s="19">
        <v>-4.1210000000000004</v>
      </c>
    </row>
    <row r="31" spans="1:33" s="11" customFormat="1" x14ac:dyDescent="0.2">
      <c r="A31" s="19" t="s">
        <v>21</v>
      </c>
      <c r="B31" s="19">
        <v>-0.121641</v>
      </c>
      <c r="C31" s="19">
        <v>-0.121641</v>
      </c>
      <c r="D31" s="19">
        <v>-0.83103899999999986</v>
      </c>
      <c r="E31" s="19">
        <v>-8.7281999999999998E-2</v>
      </c>
      <c r="F31" s="19">
        <v>-5.0236000000000003E-2</v>
      </c>
      <c r="G31" s="19">
        <v>-0.119545</v>
      </c>
      <c r="H31" s="19">
        <v>-4.7796999999999978E-2</v>
      </c>
      <c r="I31" s="19">
        <v>-8.4015000000000006E-2</v>
      </c>
      <c r="J31" s="19">
        <f>-0.01075-K31</f>
        <v>8.497600000000001E-2</v>
      </c>
      <c r="K31" s="19">
        <v>-9.5726000000000006E-2</v>
      </c>
      <c r="L31" s="19">
        <v>-5.1765000000000005E-2</v>
      </c>
      <c r="M31" s="19">
        <v>-7.7363000000000001E-2</v>
      </c>
      <c r="N31" s="19">
        <v>-7.6557E-2</v>
      </c>
      <c r="O31" s="19">
        <v>-7.3602000000000001E-2</v>
      </c>
      <c r="P31" s="19">
        <f>-0.244617-Q31-R31-S31</f>
        <v>-4.8694000000000015E-2</v>
      </c>
      <c r="Q31" s="19">
        <v>-6.5922999999999995E-2</v>
      </c>
      <c r="R31" s="19">
        <v>-6.3E-2</v>
      </c>
      <c r="S31" s="19">
        <v>-6.7000000000000004E-2</v>
      </c>
      <c r="T31" s="19">
        <f>-0.269711-U31-V31-W31</f>
        <v>-6.5710999999999978E-2</v>
      </c>
      <c r="U31" s="19">
        <v>-7.4999999999999997E-2</v>
      </c>
      <c r="V31" s="19">
        <v>-5.6000000000000001E-2</v>
      </c>
      <c r="W31" s="19">
        <v>-7.2999999999999995E-2</v>
      </c>
      <c r="X31" s="19">
        <v>9.3962999999999991E-2</v>
      </c>
      <c r="Y31" s="19">
        <v>-7.3999999999999996E-2</v>
      </c>
      <c r="Z31" s="19">
        <v>-0.14099999999999999</v>
      </c>
    </row>
    <row r="32" spans="1:33" s="11" customFormat="1" x14ac:dyDescent="0.2">
      <c r="A32" s="19" t="s">
        <v>20</v>
      </c>
      <c r="B32" s="19">
        <v>-2.3098329999999985</v>
      </c>
      <c r="C32" s="19">
        <v>-5.6901670000000006</v>
      </c>
      <c r="D32" s="19">
        <v>-2.8837710000000003</v>
      </c>
      <c r="E32" s="19">
        <v>11.826498000000001</v>
      </c>
      <c r="F32" s="19">
        <v>-5.9374159999999998</v>
      </c>
      <c r="G32" s="19">
        <v>1.277674</v>
      </c>
      <c r="H32" s="19">
        <v>-2.5331269999999977</v>
      </c>
      <c r="I32" s="19">
        <f>-1.268203-4.57914-0.098328+0.372335+1.500155+0.002426+1.801189+0.08441-J32-K32</f>
        <v>-0.30643499999999957</v>
      </c>
      <c r="J32" s="19">
        <f>-2.463156-2.868358+0.260172+1.702397-0.01731+0.306791+1.327647-0.126904-K32</f>
        <v>-5.2610780000000004</v>
      </c>
      <c r="K32" s="19">
        <v>3.3823569999999998</v>
      </c>
      <c r="L32" s="19">
        <v>-1.3614829999999998</v>
      </c>
      <c r="M32" s="19">
        <f>1.54196-0.48814-0.688562-2.079438+3.376229+0.725912+0.991+0.032661-N32-O32</f>
        <v>9.2838399999999996</v>
      </c>
      <c r="N32" s="19">
        <f>-6.053492-0.19405+0.246683-1.388662-0.019756+0.713616+0.71379+0.109653-O32</f>
        <v>-8.9901870000000006</v>
      </c>
      <c r="O32" s="19">
        <v>3.1179690000000004</v>
      </c>
      <c r="P32" s="19">
        <f>-2.359635+0.000315-0.076638-2.04981+1.631449+1.219524+0.540943+1.079964+0.392859-Q32-R32-S32</f>
        <v>-6.227824</v>
      </c>
      <c r="Q32" s="19">
        <f>0.126814-0.389629-0.678441+1.338065+3.674359+0.77531+1.511336+0.248981-R32-S32</f>
        <v>3.9057949999999995</v>
      </c>
      <c r="R32" s="19">
        <f>1.414+0.28-0.512+0.022-0.243+0.604+0.846+0.29-S32</f>
        <v>-2.3140000000000005</v>
      </c>
      <c r="S32" s="19">
        <v>5.0150000000000006</v>
      </c>
      <c r="T32" s="19">
        <f>-6.684401-2.080844-1.689191-1.095401+0.088756+0.705528+0.190371+1.221099+0.915697-U32-V32-W32</f>
        <v>-8.6803860000000004</v>
      </c>
      <c r="U32" s="19">
        <v>1.0669999999999999</v>
      </c>
      <c r="V32" s="19">
        <v>-0.59800000000000031</v>
      </c>
      <c r="W32" s="19">
        <v>-0.21699999999999986</v>
      </c>
      <c r="X32" s="19">
        <v>-8.1943280000000005</v>
      </c>
      <c r="Y32" s="19">
        <v>0.74000000000000066</v>
      </c>
      <c r="Z32" s="19">
        <v>10.209</v>
      </c>
    </row>
    <row r="33" spans="1:29"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c r="Z33" s="19">
        <v>0</v>
      </c>
    </row>
    <row r="34" spans="1:29"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1">
        <v>0</v>
      </c>
    </row>
    <row r="35" spans="1:29" s="20" customFormat="1" x14ac:dyDescent="0.2">
      <c r="A35" s="20" t="s">
        <v>17</v>
      </c>
      <c r="B35" s="20">
        <v>16.813627999999998</v>
      </c>
      <c r="C35" s="20">
        <v>15.586372000000001</v>
      </c>
      <c r="D35" s="20">
        <v>2.3527369999999976</v>
      </c>
      <c r="E35" s="20">
        <v>21.263977000000001</v>
      </c>
      <c r="F35" s="20">
        <f>9.598976-G35</f>
        <v>-3.3675730000000001</v>
      </c>
      <c r="G35" s="20">
        <v>12.966549000000001</v>
      </c>
      <c r="H35" s="20">
        <v>10.314667</v>
      </c>
      <c r="I35" s="20">
        <f>42.245271-J35-K35</f>
        <v>12.005237000000001</v>
      </c>
      <c r="J35" s="20">
        <f>30.240034-K35</f>
        <v>9.1800139999999999</v>
      </c>
      <c r="K35" s="20">
        <v>21.060020000000002</v>
      </c>
      <c r="L35" s="20">
        <v>2.549278000000001</v>
      </c>
      <c r="M35" s="20">
        <f>43.372397-N35-O35</f>
        <v>19.770486999999996</v>
      </c>
      <c r="N35" s="20">
        <f>23.60191-O35</f>
        <v>3.4883720000000018</v>
      </c>
      <c r="O35" s="20">
        <v>20.113537999999998</v>
      </c>
      <c r="P35" s="20">
        <f>56.823372-Q35-R35-S35</f>
        <v>5.2775469999999984</v>
      </c>
      <c r="Q35" s="20">
        <f>51.545825-R35-S35</f>
        <v>15.554825000000005</v>
      </c>
      <c r="R35" s="20">
        <f>35.991-S35</f>
        <v>12.550999999999998</v>
      </c>
      <c r="S35" s="20">
        <v>23.44</v>
      </c>
      <c r="T35" s="20">
        <f>45.216954-U35-V35-W35</f>
        <v>6.5269539999999999</v>
      </c>
      <c r="U35" s="20">
        <v>11.702999999999999</v>
      </c>
      <c r="V35" s="20">
        <v>10.048999999999999</v>
      </c>
      <c r="W35" s="20">
        <v>16.937999999999999</v>
      </c>
      <c r="X35" s="20">
        <v>7.3969719999999981</v>
      </c>
      <c r="Y35" s="20">
        <v>6.1200000000000045</v>
      </c>
      <c r="Z35" s="20">
        <v>15.816999999999997</v>
      </c>
    </row>
    <row r="36" spans="1:29" s="11" customFormat="1" x14ac:dyDescent="0.2">
      <c r="A36" s="19" t="s">
        <v>16</v>
      </c>
      <c r="B36" s="21">
        <v>-7.0980639999999999</v>
      </c>
      <c r="C36" s="21">
        <v>-3.4019360000000001</v>
      </c>
      <c r="D36" s="21">
        <v>-13.128862000000002</v>
      </c>
      <c r="E36" s="21">
        <v>-4.2989309999999996</v>
      </c>
      <c r="F36" s="21">
        <f>-6.371388-G36</f>
        <v>-2.8211239999999997</v>
      </c>
      <c r="G36" s="21">
        <v>-3.5502639999999999</v>
      </c>
      <c r="H36" s="21">
        <v>-13.422337999999996</v>
      </c>
      <c r="I36" s="21">
        <f>-19.43909-J36-K36</f>
        <v>-6.7940290000000001</v>
      </c>
      <c r="J36" s="21">
        <f>-12.645061-K36</f>
        <v>-6.4782270000000004</v>
      </c>
      <c r="K36" s="21">
        <v>-6.1668339999999997</v>
      </c>
      <c r="L36" s="21">
        <v>-8.8896130000000007</v>
      </c>
      <c r="M36" s="21">
        <f>-17.274756-N36-O36</f>
        <v>-9.7585449999999998</v>
      </c>
      <c r="N36" s="21">
        <f>-7.516211-O36</f>
        <v>-4.7567260000000005</v>
      </c>
      <c r="O36" s="21">
        <v>-2.7594850000000002</v>
      </c>
      <c r="P36" s="21">
        <f>-14.218431-Q36-R36-S36</f>
        <v>-3.9937390000000006</v>
      </c>
      <c r="Q36" s="21">
        <f>-10.224692-R36-S36</f>
        <v>-3.8826919999999996</v>
      </c>
      <c r="R36" s="21">
        <f>-6.342-S36</f>
        <v>-3.6769999999999996</v>
      </c>
      <c r="S36" s="21">
        <v>-2.665</v>
      </c>
      <c r="T36" s="21">
        <f>-14.157285-U36-V36-W36</f>
        <v>-3.6992850000000006</v>
      </c>
      <c r="U36" s="21">
        <v>-3.1870000000000003</v>
      </c>
      <c r="V36" s="21">
        <v>-2.6799999999999997</v>
      </c>
      <c r="W36" s="21">
        <v>-4.5910000000000002</v>
      </c>
      <c r="X36" s="21">
        <v>-7.940097999999999</v>
      </c>
      <c r="Y36" s="21">
        <v>-1.734</v>
      </c>
      <c r="Z36" s="21">
        <v>2.806</v>
      </c>
    </row>
    <row r="37" spans="1:29" s="20" customFormat="1" x14ac:dyDescent="0.2">
      <c r="A37" s="20" t="s">
        <v>15</v>
      </c>
      <c r="B37" s="20">
        <f t="shared" ref="B37:N37" si="24">+B35+B36</f>
        <v>9.715563999999997</v>
      </c>
      <c r="C37" s="20">
        <f t="shared" si="24"/>
        <v>12.184436000000002</v>
      </c>
      <c r="D37" s="20">
        <f t="shared" si="24"/>
        <v>-10.776125000000004</v>
      </c>
      <c r="E37" s="20">
        <f t="shared" si="24"/>
        <v>16.965046000000001</v>
      </c>
      <c r="F37" s="20">
        <f t="shared" si="24"/>
        <v>-6.1886969999999994</v>
      </c>
      <c r="G37" s="20">
        <f t="shared" si="24"/>
        <v>9.4162850000000002</v>
      </c>
      <c r="H37" s="20">
        <f t="shared" si="24"/>
        <v>-3.1076709999999963</v>
      </c>
      <c r="I37" s="20">
        <f t="shared" si="24"/>
        <v>5.211208000000001</v>
      </c>
      <c r="J37" s="20">
        <f t="shared" si="24"/>
        <v>2.7017869999999995</v>
      </c>
      <c r="K37" s="20">
        <f t="shared" si="24"/>
        <v>14.893186000000002</v>
      </c>
      <c r="L37" s="20">
        <f t="shared" si="24"/>
        <v>-6.3403349999999996</v>
      </c>
      <c r="M37" s="20">
        <f t="shared" si="24"/>
        <v>10.011941999999996</v>
      </c>
      <c r="N37" s="20">
        <f t="shared" si="24"/>
        <v>-1.2683539999999986</v>
      </c>
      <c r="O37" s="20">
        <f t="shared" ref="O37:Z37" si="25">+O35+O36</f>
        <v>17.354052999999997</v>
      </c>
      <c r="P37" s="20">
        <f t="shared" si="25"/>
        <v>1.2838079999999978</v>
      </c>
      <c r="Q37" s="20">
        <f t="shared" si="25"/>
        <v>11.672133000000006</v>
      </c>
      <c r="R37" s="20">
        <f t="shared" si="25"/>
        <v>8.8739999999999988</v>
      </c>
      <c r="S37" s="20">
        <f t="shared" si="25"/>
        <v>20.775000000000002</v>
      </c>
      <c r="T37" s="20">
        <f t="shared" si="25"/>
        <v>2.8276689999999993</v>
      </c>
      <c r="U37" s="20">
        <f t="shared" si="25"/>
        <v>8.5159999999999982</v>
      </c>
      <c r="V37" s="20">
        <f t="shared" si="25"/>
        <v>7.3689999999999998</v>
      </c>
      <c r="W37" s="20">
        <f t="shared" si="25"/>
        <v>12.346999999999998</v>
      </c>
      <c r="X37" s="20">
        <f t="shared" si="25"/>
        <v>-0.54312600000000089</v>
      </c>
      <c r="Y37" s="20">
        <f t="shared" si="25"/>
        <v>4.3860000000000046</v>
      </c>
      <c r="Z37" s="20">
        <f t="shared" si="25"/>
        <v>18.622999999999998</v>
      </c>
    </row>
    <row r="38" spans="1:29" x14ac:dyDescent="0.2">
      <c r="AA38" s="11"/>
      <c r="AB38" s="11"/>
      <c r="AC38" s="11"/>
    </row>
    <row r="39" spans="1:29" s="16" customFormat="1" x14ac:dyDescent="0.2">
      <c r="A39" s="18" t="s">
        <v>14</v>
      </c>
      <c r="B39" s="19">
        <v>13</v>
      </c>
      <c r="C39" s="19">
        <v>27</v>
      </c>
      <c r="D39" s="19">
        <v>27</v>
      </c>
      <c r="E39" s="19">
        <v>27</v>
      </c>
      <c r="F39" s="19">
        <f>H39+40</f>
        <v>49</v>
      </c>
      <c r="G39" s="19">
        <v>49</v>
      </c>
      <c r="H39" s="19">
        <v>9</v>
      </c>
      <c r="I39" s="19">
        <v>5</v>
      </c>
      <c r="J39" s="19">
        <v>7</v>
      </c>
      <c r="K39" s="19">
        <v>5</v>
      </c>
      <c r="L39" s="19">
        <v>7</v>
      </c>
      <c r="M39" s="19">
        <v>0</v>
      </c>
      <c r="N39" s="19">
        <v>0</v>
      </c>
      <c r="O39" s="19"/>
      <c r="P39" s="19">
        <v>5</v>
      </c>
      <c r="Q39" s="19"/>
      <c r="R39" s="19">
        <v>0</v>
      </c>
      <c r="S39" s="19">
        <v>0</v>
      </c>
      <c r="T39" s="19">
        <v>0</v>
      </c>
      <c r="U39" s="19">
        <v>0</v>
      </c>
      <c r="V39" s="19">
        <v>0</v>
      </c>
      <c r="W39" s="19">
        <v>0</v>
      </c>
      <c r="X39" s="19"/>
      <c r="Y39" s="19"/>
      <c r="Z39" s="19"/>
    </row>
    <row r="40" spans="1:29" s="16" customFormat="1" x14ac:dyDescent="0.2">
      <c r="A40" s="18" t="s">
        <v>13</v>
      </c>
      <c r="B40" s="19">
        <v>339.87500000000006</v>
      </c>
      <c r="C40" s="19">
        <v>342.57500000000005</v>
      </c>
      <c r="D40" s="19">
        <v>344.35</v>
      </c>
      <c r="E40" s="19">
        <v>345.23749999999995</v>
      </c>
      <c r="F40" s="19">
        <f>F41-F39-110</f>
        <v>349.036</v>
      </c>
      <c r="G40" s="19">
        <v>347.01249999999999</v>
      </c>
      <c r="H40" s="19">
        <v>347.9</v>
      </c>
      <c r="I40" s="19">
        <f>353.788-I39</f>
        <v>348.78800000000001</v>
      </c>
      <c r="J40" s="19">
        <v>349.67500000000001</v>
      </c>
      <c r="K40" s="19">
        <v>349.67500000000001</v>
      </c>
      <c r="L40" s="19">
        <f>351.45</f>
        <v>351.45</v>
      </c>
      <c r="M40" s="19">
        <f>462.031-110+0.75</f>
        <v>352.78100000000001</v>
      </c>
      <c r="N40" s="19">
        <f>462.338-110+0.75</f>
        <v>353.08800000000002</v>
      </c>
      <c r="O40" s="19"/>
      <c r="P40" s="19">
        <v>354.11250000000001</v>
      </c>
      <c r="Q40" s="19"/>
      <c r="R40" s="19">
        <v>355</v>
      </c>
      <c r="S40" s="19">
        <v>265</v>
      </c>
      <c r="T40" s="19">
        <v>275</v>
      </c>
      <c r="U40" s="19">
        <v>277.5</v>
      </c>
      <c r="V40" s="19">
        <v>280.5</v>
      </c>
      <c r="W40" s="19">
        <v>280.5</v>
      </c>
      <c r="X40" s="19"/>
      <c r="Y40" s="19"/>
      <c r="Z40" s="19"/>
    </row>
    <row r="41" spans="1:29" s="16" customFormat="1" x14ac:dyDescent="0.2">
      <c r="A41" s="18" t="s">
        <v>12</v>
      </c>
      <c r="B41" s="19">
        <f>B39+B40+110</f>
        <v>462.87500000000006</v>
      </c>
      <c r="C41" s="19">
        <f>C39+C40+110</f>
        <v>479.57500000000005</v>
      </c>
      <c r="D41" s="19">
        <f>D39+D40+113.238701</f>
        <v>484.58870100000001</v>
      </c>
      <c r="E41" s="19">
        <f>E39+E40+110</f>
        <v>482.23749999999995</v>
      </c>
      <c r="F41" s="19">
        <v>508.036</v>
      </c>
      <c r="G41" s="19">
        <f t="shared" ref="G41:N41" si="26">G39+G40+110</f>
        <v>506.01249999999999</v>
      </c>
      <c r="H41" s="19">
        <f t="shared" si="26"/>
        <v>466.9</v>
      </c>
      <c r="I41" s="19">
        <f t="shared" si="26"/>
        <v>463.78800000000001</v>
      </c>
      <c r="J41" s="19">
        <f t="shared" si="26"/>
        <v>466.67500000000001</v>
      </c>
      <c r="K41" s="19">
        <f t="shared" si="26"/>
        <v>464.67500000000001</v>
      </c>
      <c r="L41" s="19">
        <f t="shared" si="26"/>
        <v>468.45</v>
      </c>
      <c r="M41" s="19">
        <f t="shared" si="26"/>
        <v>462.78100000000001</v>
      </c>
      <c r="N41" s="19">
        <f t="shared" si="26"/>
        <v>463.08800000000002</v>
      </c>
      <c r="O41" s="19"/>
      <c r="P41" s="19">
        <f>P40+P39+110</f>
        <v>469.11250000000001</v>
      </c>
      <c r="Q41" s="19"/>
      <c r="R41" s="19">
        <f>R39+R40+110</f>
        <v>465</v>
      </c>
      <c r="S41" s="19">
        <f>S39+S40</f>
        <v>265</v>
      </c>
      <c r="T41" s="19">
        <f>T39+T40</f>
        <v>275</v>
      </c>
      <c r="U41" s="19">
        <f>U39+U40</f>
        <v>277.5</v>
      </c>
      <c r="V41" s="19">
        <f>V39+V40</f>
        <v>280.5</v>
      </c>
      <c r="W41" s="19">
        <f>W39+W40</f>
        <v>280.5</v>
      </c>
      <c r="X41" s="19"/>
      <c r="Y41" s="19"/>
      <c r="Z41" s="19"/>
    </row>
    <row r="42" spans="1:29" s="16" customFormat="1" x14ac:dyDescent="0.2">
      <c r="A42" s="18" t="s">
        <v>11</v>
      </c>
      <c r="B42" s="17">
        <v>315</v>
      </c>
      <c r="C42" s="17">
        <v>315</v>
      </c>
      <c r="D42" s="17">
        <v>315</v>
      </c>
      <c r="E42" s="17">
        <v>315</v>
      </c>
      <c r="F42" s="17">
        <v>315</v>
      </c>
      <c r="G42" s="17">
        <v>315</v>
      </c>
      <c r="H42" s="17">
        <v>315</v>
      </c>
      <c r="I42" s="17">
        <v>315</v>
      </c>
      <c r="J42" s="17">
        <v>315</v>
      </c>
      <c r="K42" s="17">
        <v>315</v>
      </c>
      <c r="L42" s="17">
        <v>315</v>
      </c>
      <c r="M42" s="17">
        <v>315</v>
      </c>
      <c r="N42" s="17">
        <v>315</v>
      </c>
      <c r="O42" s="17"/>
      <c r="P42" s="17">
        <v>315</v>
      </c>
      <c r="Q42" s="17"/>
      <c r="R42" s="17">
        <v>315</v>
      </c>
      <c r="S42" s="17">
        <v>315</v>
      </c>
      <c r="T42" s="17">
        <v>315</v>
      </c>
      <c r="U42" s="17">
        <v>315</v>
      </c>
      <c r="V42" s="17">
        <v>315</v>
      </c>
      <c r="W42" s="17">
        <v>315</v>
      </c>
      <c r="X42" s="17"/>
      <c r="Y42" s="17"/>
      <c r="Z42" s="17"/>
    </row>
    <row r="43" spans="1:29" x14ac:dyDescent="0.2">
      <c r="B43" s="16"/>
      <c r="C43" s="16"/>
      <c r="D43" s="16"/>
      <c r="E43" s="16"/>
      <c r="F43" s="16"/>
      <c r="G43" s="16"/>
      <c r="H43" s="16"/>
      <c r="I43" s="16"/>
      <c r="J43" s="16"/>
      <c r="K43" s="16"/>
      <c r="L43" s="16"/>
      <c r="M43" s="16"/>
      <c r="N43" s="16"/>
      <c r="O43" s="16"/>
      <c r="P43" s="16"/>
      <c r="Q43" s="16"/>
      <c r="R43" s="16"/>
      <c r="S43" s="16"/>
      <c r="T43" s="16"/>
      <c r="U43" s="16"/>
    </row>
    <row r="44" spans="1:29" x14ac:dyDescent="0.2">
      <c r="A44" s="15" t="s">
        <v>10</v>
      </c>
      <c r="B44" s="14">
        <v>15.1</v>
      </c>
      <c r="C44" s="14">
        <v>16.161909000000001</v>
      </c>
      <c r="D44" s="14">
        <v>9.2518740000000008</v>
      </c>
      <c r="E44" s="14">
        <v>29.22223</v>
      </c>
      <c r="F44" s="14">
        <v>32.952092999999998</v>
      </c>
      <c r="G44" s="14">
        <v>43.378293999999997</v>
      </c>
      <c r="H44" s="14">
        <v>0.99672700000000003</v>
      </c>
      <c r="I44" s="14">
        <v>1.8112740000000001</v>
      </c>
      <c r="J44" s="14">
        <v>4.8903150000000002</v>
      </c>
      <c r="K44" s="14">
        <v>10.352217</v>
      </c>
      <c r="L44" s="14">
        <v>2.6204519999999998</v>
      </c>
      <c r="M44" s="14">
        <v>4.3355399999999999</v>
      </c>
      <c r="N44" s="14">
        <v>9.7620000000000005</v>
      </c>
      <c r="O44" s="14"/>
      <c r="P44" s="14">
        <v>4.4913930000000004</v>
      </c>
      <c r="Q44" s="14"/>
      <c r="R44" s="14">
        <v>0</v>
      </c>
      <c r="S44" s="14">
        <v>15.731999999999999</v>
      </c>
      <c r="T44" s="14">
        <v>10.443</v>
      </c>
      <c r="U44" s="14">
        <v>15.999000000000001</v>
      </c>
      <c r="V44" s="14">
        <v>13.89</v>
      </c>
      <c r="W44" s="14">
        <v>10.238</v>
      </c>
      <c r="X44" s="14"/>
      <c r="Y44" s="14"/>
      <c r="Z44" s="14"/>
    </row>
    <row r="46" spans="1:29" x14ac:dyDescent="0.2">
      <c r="A46" s="1" t="s">
        <v>9</v>
      </c>
      <c r="B46" s="11">
        <f t="shared" ref="B46:Q46" si="27">SUM(B12:E12)</f>
        <v>329.53796599999998</v>
      </c>
      <c r="C46" s="11">
        <f t="shared" si="27"/>
        <v>295.66927099999998</v>
      </c>
      <c r="D46" s="11">
        <f t="shared" si="27"/>
        <v>276.24658099999999</v>
      </c>
      <c r="E46" s="11">
        <f t="shared" si="27"/>
        <v>268.38966299999998</v>
      </c>
      <c r="F46" s="11">
        <f t="shared" si="27"/>
        <v>261.954249</v>
      </c>
      <c r="G46" s="11">
        <f t="shared" si="27"/>
        <v>292.47524899999996</v>
      </c>
      <c r="H46" s="11">
        <f t="shared" si="27"/>
        <v>294.457581</v>
      </c>
      <c r="I46" s="11">
        <f t="shared" si="27"/>
        <v>283.202021</v>
      </c>
      <c r="J46" s="11">
        <f t="shared" si="27"/>
        <v>273.02562399999999</v>
      </c>
      <c r="K46" s="11">
        <f t="shared" si="27"/>
        <v>267.71729199999999</v>
      </c>
      <c r="L46" s="11">
        <f t="shared" si="27"/>
        <v>263.14437299999997</v>
      </c>
      <c r="M46" s="11">
        <f t="shared" si="27"/>
        <v>260.71493199999998</v>
      </c>
      <c r="N46" s="11">
        <f t="shared" si="27"/>
        <v>256.548023</v>
      </c>
      <c r="O46" s="11">
        <f t="shared" si="27"/>
        <v>249.68935499999998</v>
      </c>
      <c r="P46" s="11">
        <f t="shared" si="27"/>
        <v>244.63732700000003</v>
      </c>
      <c r="Q46" s="11">
        <f t="shared" si="27"/>
        <v>241.04015400000003</v>
      </c>
      <c r="R46" s="11">
        <f t="shared" ref="R46:W46" si="28">SUM(R12:U12)</f>
        <v>237.028874</v>
      </c>
      <c r="S46" s="11">
        <f t="shared" si="28"/>
        <v>231.85387400000002</v>
      </c>
      <c r="T46" s="11">
        <f t="shared" si="28"/>
        <v>226.29287400000001</v>
      </c>
      <c r="U46" s="11">
        <f t="shared" si="28"/>
        <v>221.63847199999998</v>
      </c>
      <c r="V46" s="11">
        <f t="shared" si="28"/>
        <v>217.89347199999997</v>
      </c>
      <c r="W46" s="11">
        <f t="shared" si="28"/>
        <v>213.46047199999998</v>
      </c>
    </row>
    <row r="47" spans="1:29" x14ac:dyDescent="0.2">
      <c r="A47" s="1" t="s">
        <v>8</v>
      </c>
      <c r="B47" s="11">
        <f t="shared" ref="B47:C47" si="29">B27</f>
        <v>111.30000000000001</v>
      </c>
      <c r="C47" s="11">
        <f t="shared" si="29"/>
        <v>85.522999999999996</v>
      </c>
      <c r="D47" s="11">
        <f t="shared" ref="D47" si="30">D27</f>
        <v>78.322999999999979</v>
      </c>
      <c r="E47" s="11">
        <f t="shared" ref="E47:F47" si="31">E27</f>
        <v>80.531999999999996</v>
      </c>
      <c r="F47" s="11">
        <f t="shared" si="31"/>
        <v>79.072999999999993</v>
      </c>
      <c r="G47" s="11">
        <f t="shared" ref="G47:H47" si="32">G27</f>
        <v>90.8</v>
      </c>
      <c r="H47" s="11">
        <f t="shared" si="32"/>
        <v>100.58799999999999</v>
      </c>
      <c r="I47" s="11">
        <f t="shared" ref="I47:N47" si="33">I27</f>
        <v>94.06</v>
      </c>
      <c r="J47" s="11">
        <f t="shared" si="33"/>
        <v>90.701999999999998</v>
      </c>
      <c r="K47" s="11">
        <f t="shared" si="33"/>
        <v>90.8</v>
      </c>
      <c r="L47" s="11">
        <f t="shared" si="33"/>
        <v>91.796000000000006</v>
      </c>
      <c r="M47" s="11">
        <f t="shared" si="33"/>
        <v>89.278999999999996</v>
      </c>
      <c r="N47" s="11">
        <f t="shared" si="33"/>
        <v>87.852999999999994</v>
      </c>
      <c r="O47" s="11"/>
      <c r="P47" s="11">
        <f>P27</f>
        <v>84.751000000000005</v>
      </c>
      <c r="Q47" s="11"/>
      <c r="R47" s="11">
        <f t="shared" ref="R47:W47" si="34">+R27</f>
        <v>74.7</v>
      </c>
      <c r="S47" s="11">
        <f t="shared" si="34"/>
        <v>71.710999999999999</v>
      </c>
      <c r="T47" s="11">
        <f t="shared" si="34"/>
        <v>71.5</v>
      </c>
      <c r="U47" s="11">
        <f t="shared" si="34"/>
        <v>67.974000000000004</v>
      </c>
      <c r="V47" s="11">
        <f t="shared" si="34"/>
        <v>66.875</v>
      </c>
      <c r="W47" s="11">
        <f t="shared" si="34"/>
        <v>64.650999999999996</v>
      </c>
    </row>
    <row r="48" spans="1:29" x14ac:dyDescent="0.2">
      <c r="A48" s="1" t="s">
        <v>7</v>
      </c>
      <c r="B48" s="11">
        <f t="shared" ref="B48:Q48" si="35">+SUM(B37:E37)</f>
        <v>28.088920999999996</v>
      </c>
      <c r="C48" s="11">
        <f t="shared" si="35"/>
        <v>12.184659999999999</v>
      </c>
      <c r="D48" s="11">
        <f t="shared" si="35"/>
        <v>9.4165089999999978</v>
      </c>
      <c r="E48" s="11">
        <f t="shared" si="35"/>
        <v>17.084963000000005</v>
      </c>
      <c r="F48" s="11">
        <f t="shared" si="35"/>
        <v>5.3311250000000054</v>
      </c>
      <c r="G48" s="11">
        <f t="shared" si="35"/>
        <v>14.221609000000004</v>
      </c>
      <c r="H48" s="11">
        <f t="shared" si="35"/>
        <v>19.698510000000006</v>
      </c>
      <c r="I48" s="11">
        <f t="shared" si="35"/>
        <v>16.465846000000003</v>
      </c>
      <c r="J48" s="11">
        <f t="shared" si="35"/>
        <v>21.266579999999998</v>
      </c>
      <c r="K48" s="11">
        <f t="shared" si="35"/>
        <v>17.296438999999999</v>
      </c>
      <c r="L48" s="11">
        <f t="shared" si="35"/>
        <v>19.757305999999993</v>
      </c>
      <c r="M48" s="11">
        <f t="shared" si="35"/>
        <v>27.381448999999993</v>
      </c>
      <c r="N48" s="11">
        <f t="shared" si="35"/>
        <v>29.041640000000001</v>
      </c>
      <c r="O48" s="11">
        <f t="shared" si="35"/>
        <v>39.183993999999998</v>
      </c>
      <c r="P48" s="11">
        <f t="shared" si="35"/>
        <v>42.604941000000004</v>
      </c>
      <c r="Q48" s="11">
        <f t="shared" si="35"/>
        <v>44.148802000000003</v>
      </c>
      <c r="R48" s="54">
        <f>R47-24-12</f>
        <v>38.700000000000003</v>
      </c>
      <c r="S48" s="11">
        <f>+SUM(S37:V37)</f>
        <v>39.487668999999997</v>
      </c>
      <c r="T48" s="11">
        <f>+SUM(T37:W37)</f>
        <v>31.059668999999996</v>
      </c>
      <c r="U48" s="11">
        <f>+SUM(U37:X37)</f>
        <v>27.688873999999995</v>
      </c>
      <c r="V48" s="11">
        <f>+SUM(V37:Y37)</f>
        <v>23.558874000000003</v>
      </c>
      <c r="W48" s="11">
        <f>+SUM(W37:Z37)</f>
        <v>34.812874000000001</v>
      </c>
    </row>
    <row r="50" spans="1:26" s="10" customFormat="1" x14ac:dyDescent="0.2">
      <c r="A50" s="10" t="s">
        <v>6</v>
      </c>
      <c r="B50" s="10">
        <f t="shared" ref="B50:C50" si="36">+SUM(B39:B40)/B47</f>
        <v>3.1704851752021566</v>
      </c>
      <c r="C50" s="10">
        <f t="shared" si="36"/>
        <v>4.3213521508833885</v>
      </c>
      <c r="D50" s="10">
        <f t="shared" ref="D50" si="37">+SUM(D39:D40)/D47</f>
        <v>4.741263741174369</v>
      </c>
      <c r="E50" s="10">
        <f t="shared" ref="E50:F50" si="38">+SUM(E39:E40)/E47</f>
        <v>4.6222309144191129</v>
      </c>
      <c r="F50" s="10">
        <f t="shared" si="38"/>
        <v>5.0337789131561976</v>
      </c>
      <c r="G50" s="10">
        <f t="shared" ref="G50:H50" si="39">+SUM(G39:G40)/G47</f>
        <v>4.3613711453744495</v>
      </c>
      <c r="H50" s="10">
        <f t="shared" si="39"/>
        <v>3.5481369547063268</v>
      </c>
      <c r="I50" s="10">
        <f t="shared" ref="I50:J50" si="40">+SUM(I39:I40)/I47</f>
        <v>3.7613012970444397</v>
      </c>
      <c r="J50" s="10">
        <f t="shared" si="40"/>
        <v>3.93238296840202</v>
      </c>
      <c r="K50" s="10">
        <f t="shared" ref="K50:L50" si="41">+SUM(K39:K40)/K47</f>
        <v>3.9061123348017626</v>
      </c>
      <c r="L50" s="10">
        <f t="shared" si="41"/>
        <v>3.9048542420149022</v>
      </c>
      <c r="M50" s="10">
        <f t="shared" ref="M50:N50" si="42">+SUM(M39:M40)/M47</f>
        <v>3.9514443486150159</v>
      </c>
      <c r="N50" s="10">
        <f t="shared" si="42"/>
        <v>4.0190773223452823</v>
      </c>
      <c r="P50" s="10">
        <f t="shared" ref="P50" si="43">+SUM(P39:P40)/P47</f>
        <v>4.2372656369836346</v>
      </c>
      <c r="R50" s="10">
        <f t="shared" ref="R50:W50" si="44">+SUM(R39:R40)/R47</f>
        <v>4.7523427041499327</v>
      </c>
      <c r="S50" s="10">
        <f t="shared" si="44"/>
        <v>3.6953884341314445</v>
      </c>
      <c r="T50" s="10">
        <f t="shared" si="44"/>
        <v>3.8461538461538463</v>
      </c>
      <c r="U50" s="10">
        <f t="shared" si="44"/>
        <v>4.0824432871392</v>
      </c>
      <c r="V50" s="10">
        <f t="shared" si="44"/>
        <v>4.1943925233644856</v>
      </c>
      <c r="W50" s="10">
        <f t="shared" si="44"/>
        <v>4.3386799894819879</v>
      </c>
    </row>
    <row r="51" spans="1:26" s="10" customFormat="1" x14ac:dyDescent="0.2">
      <c r="A51" s="10" t="s">
        <v>5</v>
      </c>
      <c r="B51" s="10">
        <f t="shared" ref="B51:C51" si="45">+B41/B47</f>
        <v>4.1588050314465406</v>
      </c>
      <c r="C51" s="10">
        <f t="shared" si="45"/>
        <v>5.607555862165734</v>
      </c>
      <c r="D51" s="10">
        <f t="shared" ref="D51" si="46">+D41/D47</f>
        <v>6.1870549008592644</v>
      </c>
      <c r="E51" s="10">
        <f t="shared" ref="E51:F51" si="47">+E41/E47</f>
        <v>5.9881475686683547</v>
      </c>
      <c r="F51" s="10">
        <f t="shared" si="47"/>
        <v>6.4248985115020307</v>
      </c>
      <c r="G51" s="10">
        <f t="shared" ref="G51:H51" si="48">+G41/G47</f>
        <v>5.5728248898678414</v>
      </c>
      <c r="H51" s="10">
        <f t="shared" si="48"/>
        <v>4.641706764226349</v>
      </c>
      <c r="I51" s="10">
        <f t="shared" ref="I51:J51" si="49">+I41/I47</f>
        <v>4.9307675951520302</v>
      </c>
      <c r="J51" s="10">
        <f t="shared" si="49"/>
        <v>5.1451456417719568</v>
      </c>
      <c r="K51" s="10">
        <f t="shared" ref="K51:L51" si="50">+K41/K47</f>
        <v>5.1175660792951545</v>
      </c>
      <c r="L51" s="10">
        <f t="shared" si="50"/>
        <v>5.1031635365375392</v>
      </c>
      <c r="M51" s="10">
        <f t="shared" ref="M51:N51" si="51">+M41/M47</f>
        <v>5.1835370019825495</v>
      </c>
      <c r="N51" s="10">
        <f t="shared" si="51"/>
        <v>5.2711688843864186</v>
      </c>
      <c r="P51" s="10">
        <f t="shared" ref="P51" si="52">+P41/P47</f>
        <v>5.5351854255407016</v>
      </c>
      <c r="R51" s="10">
        <f t="shared" ref="R51:W51" si="53">+R41/R47</f>
        <v>6.2248995983935744</v>
      </c>
      <c r="S51" s="10">
        <f t="shared" si="53"/>
        <v>3.6953884341314445</v>
      </c>
      <c r="T51" s="10">
        <f t="shared" si="53"/>
        <v>3.8461538461538463</v>
      </c>
      <c r="U51" s="10">
        <f t="shared" si="53"/>
        <v>4.0824432871392</v>
      </c>
      <c r="V51" s="10">
        <f t="shared" si="53"/>
        <v>4.1943925233644856</v>
      </c>
      <c r="W51" s="10">
        <f t="shared" si="53"/>
        <v>4.3386799894819879</v>
      </c>
    </row>
    <row r="52" spans="1:26" s="10" customFormat="1" x14ac:dyDescent="0.2">
      <c r="A52" s="10" t="s">
        <v>4</v>
      </c>
      <c r="B52" s="10">
        <f t="shared" ref="B52:C52" si="54">+(B41-B44)/B47</f>
        <v>4.0231356693620848</v>
      </c>
      <c r="C52" s="10">
        <f t="shared" si="54"/>
        <v>5.418578522736575</v>
      </c>
      <c r="D52" s="10">
        <f t="shared" ref="D52" si="55">+(D41-D44)/D47</f>
        <v>6.0689302886763805</v>
      </c>
      <c r="E52" s="10">
        <f t="shared" ref="E52:F52" si="56">+(E41-E44)/E47</f>
        <v>5.6252827447474294</v>
      </c>
      <c r="F52" s="10">
        <f t="shared" si="56"/>
        <v>6.0081684898764438</v>
      </c>
      <c r="G52" s="10">
        <f t="shared" ref="G52:H52" si="57">+(G41-G44)/G47</f>
        <v>5.0950903744493399</v>
      </c>
      <c r="H52" s="10">
        <f t="shared" si="57"/>
        <v>4.6317977591760444</v>
      </c>
      <c r="I52" s="10">
        <f t="shared" ref="I52:J52" si="58">+(I41-I44)/I47</f>
        <v>4.9115110142462255</v>
      </c>
      <c r="J52" s="10">
        <f t="shared" si="58"/>
        <v>5.0912293554717651</v>
      </c>
      <c r="K52" s="10">
        <f t="shared" ref="K52:L52" si="59">+(K41-K44)/K47</f>
        <v>5.0035548788546258</v>
      </c>
      <c r="L52" s="10">
        <f t="shared" si="59"/>
        <v>5.0746170639243537</v>
      </c>
      <c r="M52" s="10">
        <f t="shared" ref="M52:N52" si="60">+(M41-M44)/M47</f>
        <v>5.1349753021427214</v>
      </c>
      <c r="N52" s="10">
        <f t="shared" si="60"/>
        <v>5.1600514495805498</v>
      </c>
      <c r="P52" s="10">
        <f t="shared" ref="P52" si="61">+(P41-P44)/P47</f>
        <v>5.4821902632417316</v>
      </c>
      <c r="R52" s="10">
        <f t="shared" ref="R52:W52" si="62">+(R41-R44)/R47</f>
        <v>6.2248995983935744</v>
      </c>
      <c r="S52" s="10">
        <f t="shared" si="62"/>
        <v>3.4760078649021771</v>
      </c>
      <c r="T52" s="10">
        <f t="shared" si="62"/>
        <v>3.7000979020979021</v>
      </c>
      <c r="U52" s="10">
        <f t="shared" si="62"/>
        <v>3.8470738811898664</v>
      </c>
      <c r="V52" s="10">
        <f t="shared" si="62"/>
        <v>3.9866915887850469</v>
      </c>
      <c r="W52" s="10">
        <f t="shared" si="62"/>
        <v>4.1803220367821075</v>
      </c>
    </row>
    <row r="53" spans="1:26" s="6" customFormat="1" x14ac:dyDescent="0.2">
      <c r="A53" s="6" t="s">
        <v>3</v>
      </c>
      <c r="B53" s="52">
        <f t="shared" ref="B53:C53" si="63">IFERROR(+B48/B41,"NA")</f>
        <v>6.0683599243856315E-2</v>
      </c>
      <c r="C53" s="52">
        <f t="shared" si="63"/>
        <v>2.5407204295469943E-2</v>
      </c>
      <c r="D53" s="52">
        <f t="shared" ref="D53" si="64">IFERROR(+D48/D41,"NA")</f>
        <v>1.9431961538863857E-2</v>
      </c>
      <c r="E53" s="52">
        <f t="shared" ref="E53:F53" si="65">IFERROR(+E48/E41,"NA")</f>
        <v>3.5428524326706255E-2</v>
      </c>
      <c r="F53" s="52">
        <f t="shared" si="65"/>
        <v>1.0493596910455176E-2</v>
      </c>
      <c r="G53" s="52">
        <f t="shared" ref="G53:H53" si="66">IFERROR(+G48/G41,"NA")</f>
        <v>2.8105252340604243E-2</v>
      </c>
      <c r="H53" s="52">
        <f t="shared" si="66"/>
        <v>4.2189997858213764E-2</v>
      </c>
      <c r="I53" s="52">
        <f t="shared" ref="I53:N53" si="67">IFERROR(+I48/I41,"NA")</f>
        <v>3.5502958248165115E-2</v>
      </c>
      <c r="J53" s="52">
        <f t="shared" si="67"/>
        <v>4.5570429099480357E-2</v>
      </c>
      <c r="K53" s="52">
        <f t="shared" si="67"/>
        <v>3.7222658847581643E-2</v>
      </c>
      <c r="L53" s="52">
        <f t="shared" si="67"/>
        <v>4.2175912050378891E-2</v>
      </c>
      <c r="M53" s="52">
        <f t="shared" si="67"/>
        <v>5.9167184910357148E-2</v>
      </c>
      <c r="N53" s="52">
        <f t="shared" si="67"/>
        <v>6.271300487164426E-2</v>
      </c>
      <c r="O53" s="52"/>
      <c r="P53" s="52">
        <f>IFERROR(+P48/P41,"NA")</f>
        <v>9.0820306429694381E-2</v>
      </c>
      <c r="Q53" s="52"/>
      <c r="R53" s="52">
        <f>IFERROR(+R48/R41,"NA")</f>
        <v>8.3225806451612913E-2</v>
      </c>
      <c r="S53" s="6">
        <f>+S48/S41</f>
        <v>0.1490100716981132</v>
      </c>
      <c r="T53" s="6">
        <f>+T48/T41</f>
        <v>0.1129442509090909</v>
      </c>
      <c r="U53" s="6">
        <f>+U48/U41</f>
        <v>9.9779726126126109E-2</v>
      </c>
      <c r="V53" s="6">
        <f>+V48/V41</f>
        <v>8.3988855614973268E-2</v>
      </c>
      <c r="W53" s="6">
        <f>+W48/W41</f>
        <v>0.12411006773618538</v>
      </c>
    </row>
    <row r="54" spans="1:26" s="6" customFormat="1" x14ac:dyDescent="0.2">
      <c r="A54" s="8" t="s">
        <v>2</v>
      </c>
      <c r="B54" s="9"/>
      <c r="C54" s="9"/>
      <c r="D54" s="9"/>
      <c r="E54" s="9"/>
      <c r="F54" s="9"/>
      <c r="G54" s="9"/>
      <c r="H54" s="9"/>
      <c r="I54" s="9"/>
      <c r="J54" s="9"/>
      <c r="K54" s="9"/>
      <c r="L54" s="9"/>
      <c r="M54" s="9"/>
      <c r="N54" s="9"/>
      <c r="O54" s="9"/>
      <c r="P54" s="9"/>
      <c r="Q54" s="9"/>
      <c r="R54" s="9"/>
      <c r="S54" s="9"/>
      <c r="T54" s="9"/>
      <c r="U54" s="9"/>
      <c r="V54" s="9"/>
      <c r="W54" s="9"/>
      <c r="X54" s="8"/>
      <c r="Y54" s="8"/>
      <c r="Z54" s="8"/>
    </row>
    <row r="55" spans="1:26" s="6" customFormat="1" x14ac:dyDescent="0.2">
      <c r="A55" s="6" t="s">
        <v>1</v>
      </c>
      <c r="B55" s="7">
        <f t="shared" ref="B55:C55" si="68">IF(B42=0,IF(B54="","","*"&amp;TEXT(B54,"0.0x")),(B41+B42-B44)/B47)</f>
        <v>6.8533243486073667</v>
      </c>
      <c r="C55" s="7">
        <f t="shared" si="68"/>
        <v>9.1017982414087442</v>
      </c>
      <c r="D55" s="7">
        <f t="shared" ref="D55" si="69">IF(D42=0,IF(D54="","","*"&amp;TEXT(D54,"0.0x")),(D41+D42-D44)/D47)</f>
        <v>10.090737420681029</v>
      </c>
      <c r="E55" s="7">
        <f t="shared" ref="E55:F55" si="70">IF(E42=0,IF(E54="","","*"&amp;TEXT(E54,"0.0x")),(E41+E42-E44)/E47)</f>
        <v>9.5367713455520793</v>
      </c>
      <c r="F55" s="7">
        <f t="shared" si="70"/>
        <v>9.9918291578667837</v>
      </c>
      <c r="G55" s="7">
        <f t="shared" ref="G55:H55" si="71">IF(G42=0,IF(G54="","","*"&amp;TEXT(G54,"0.0x")),(G41+G42-G44)/G47)</f>
        <v>8.5642533700440531</v>
      </c>
      <c r="H55" s="7">
        <f t="shared" si="71"/>
        <v>7.7633840318924729</v>
      </c>
      <c r="I55" s="7">
        <f t="shared" ref="I55:J55" si="72">IF(I42=0,IF(I54="","","*"&amp;TEXT(I54,"0.0x")),(I41+I42-I44)/I47)</f>
        <v>8.2604372315543273</v>
      </c>
      <c r="J55" s="7">
        <f t="shared" si="72"/>
        <v>8.5641406473947654</v>
      </c>
      <c r="K55" s="7">
        <f t="shared" ref="K55:L55" si="73">IF(K42=0,IF(K54="","","*"&amp;TEXT(K54,"0.0x")),(K41+K42-K44)/K47)</f>
        <v>8.472717874449339</v>
      </c>
      <c r="L55" s="7">
        <f t="shared" si="73"/>
        <v>8.5061391346028152</v>
      </c>
      <c r="M55" s="7">
        <f t="shared" ref="M55:N55" si="74">IF(M42=0,IF(M54="","","*"&amp;TEXT(M54,"0.0x")),(M41+M42-M44)/M47)</f>
        <v>8.6632406276952025</v>
      </c>
      <c r="N55" s="7">
        <f t="shared" si="74"/>
        <v>8.7455863772438054</v>
      </c>
      <c r="O55" s="7"/>
      <c r="P55" s="7">
        <f t="shared" ref="P55" si="75">IF(P42=0,IF(P54="","","*"&amp;TEXT(P54,"0.0x")),(P41+P42-P44)/P47)</f>
        <v>9.1989605668369681</v>
      </c>
      <c r="Q55" s="7"/>
      <c r="R55" s="7">
        <f t="shared" ref="R55:W55" si="76">IF(R42=0,IF(R54="","","*"&amp;TEXT(R54,"0.0x")),(R41+R42-R44)/R47)</f>
        <v>10.441767068273093</v>
      </c>
      <c r="S55" s="7">
        <f t="shared" si="76"/>
        <v>7.868639399813139</v>
      </c>
      <c r="T55" s="7">
        <f t="shared" si="76"/>
        <v>8.1056923076923084</v>
      </c>
      <c r="U55" s="7">
        <f t="shared" si="76"/>
        <v>8.4811986936181469</v>
      </c>
      <c r="V55" s="7">
        <f t="shared" si="76"/>
        <v>8.6969719626168231</v>
      </c>
      <c r="W55" s="7">
        <f t="shared" si="76"/>
        <v>9.0526364634731085</v>
      </c>
      <c r="X55" s="7" t="str">
        <f>IF(X42=0,IF(X54="","",CONCATENATE("* ",X54,"x")),(X41+X42-X44)/X47)</f>
        <v/>
      </c>
      <c r="Y55" s="7" t="str">
        <f>IF(Y42=0,IF(Y54="","",CONCATENATE("* ",Y54,"x")),(Y41+Y42-Y44)/Y47)</f>
        <v/>
      </c>
      <c r="Z55" s="7" t="str">
        <f>IF(Z42=0,IF(Z54="","",CONCATENATE("* ",Z54,"x")),(Z41+Z42-Z44)/Z47)</f>
        <v/>
      </c>
    </row>
    <row r="56" spans="1:26" x14ac:dyDescent="0.2">
      <c r="W56" s="3"/>
    </row>
    <row r="57" spans="1:26" ht="80.25" customHeight="1" x14ac:dyDescent="0.2">
      <c r="A57" s="5" t="s">
        <v>0</v>
      </c>
      <c r="B57" s="4" t="s">
        <v>104</v>
      </c>
      <c r="C57" s="4" t="s">
        <v>104</v>
      </c>
      <c r="D57" s="4" t="s">
        <v>104</v>
      </c>
      <c r="E57" s="4" t="s">
        <v>104</v>
      </c>
      <c r="F57" s="4" t="s">
        <v>372</v>
      </c>
      <c r="G57" s="4" t="s">
        <v>372</v>
      </c>
      <c r="H57" s="4" t="s">
        <v>372</v>
      </c>
      <c r="I57" s="4" t="s">
        <v>372</v>
      </c>
      <c r="J57" s="4" t="s">
        <v>372</v>
      </c>
      <c r="K57" s="4" t="s">
        <v>372</v>
      </c>
      <c r="L57" s="4" t="s">
        <v>344</v>
      </c>
      <c r="M57" s="4"/>
      <c r="N57" s="4"/>
      <c r="O57" s="4"/>
      <c r="P57" s="4"/>
      <c r="Q57" s="4"/>
      <c r="R57" s="4" t="s">
        <v>104</v>
      </c>
      <c r="S57" s="4"/>
      <c r="T57" s="4"/>
      <c r="U57" s="4"/>
      <c r="V57" s="4"/>
      <c r="W57" s="4"/>
      <c r="X57" s="4"/>
      <c r="Y57" s="4"/>
      <c r="Z57" s="4"/>
    </row>
    <row r="58" spans="1:26" x14ac:dyDescent="0.2">
      <c r="A58" s="2"/>
      <c r="B58" s="3"/>
      <c r="C58" s="3"/>
      <c r="D58" s="3"/>
      <c r="E58" s="3"/>
      <c r="F58" s="3"/>
      <c r="G58" s="3"/>
      <c r="H58" s="3"/>
      <c r="I58" s="3"/>
      <c r="J58" s="3"/>
      <c r="K58" s="3"/>
      <c r="L58" s="3"/>
      <c r="M58" s="3"/>
      <c r="N58" s="3"/>
      <c r="O58" s="3"/>
      <c r="P58" s="3"/>
      <c r="Q58" s="3"/>
      <c r="R58" s="3"/>
      <c r="S58" s="3"/>
    </row>
    <row r="59" spans="1:26" x14ac:dyDescent="0.2">
      <c r="A59" s="2"/>
    </row>
  </sheetData>
  <pageMargins left="0.7" right="0.7" top="0.75" bottom="0.75" header="0.3" footer="0.3"/>
  <pageSetup orientation="portrait" r:id="rId1"/>
  <ignoredErrors>
    <ignoredError sqref="R48 D41" formula="1"/>
    <ignoredError sqref="U46:X48" formulaRange="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R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8" width="10.7109375" style="1" customWidth="1"/>
    <col min="19" max="16384" width="9.140625" style="1"/>
  </cols>
  <sheetData>
    <row r="2" spans="1:18" x14ac:dyDescent="0.2">
      <c r="A2" s="34" t="s">
        <v>45</v>
      </c>
      <c r="B2" s="1" t="s">
        <v>80</v>
      </c>
    </row>
    <row r="3" spans="1:18" s="35" customFormat="1" x14ac:dyDescent="0.2">
      <c r="A3" s="36" t="s">
        <v>43</v>
      </c>
      <c r="B3" s="35" t="s">
        <v>113</v>
      </c>
    </row>
    <row r="4" spans="1:18" x14ac:dyDescent="0.2">
      <c r="A4" s="34" t="s">
        <v>41</v>
      </c>
      <c r="B4" s="1" t="s">
        <v>502</v>
      </c>
    </row>
    <row r="5" spans="1:18" x14ac:dyDescent="0.2">
      <c r="A5" s="34" t="s">
        <v>39</v>
      </c>
    </row>
    <row r="6" spans="1:18" x14ac:dyDescent="0.2">
      <c r="A6" s="34" t="s">
        <v>38</v>
      </c>
      <c r="B6" s="1">
        <v>3</v>
      </c>
    </row>
    <row r="7" spans="1:18" x14ac:dyDescent="0.2">
      <c r="A7" s="34" t="s">
        <v>37</v>
      </c>
      <c r="B7" s="1" t="s">
        <v>373</v>
      </c>
    </row>
    <row r="8" spans="1:18" x14ac:dyDescent="0.2">
      <c r="A8" s="34" t="s">
        <v>281</v>
      </c>
      <c r="B8" s="1" t="s">
        <v>313</v>
      </c>
    </row>
    <row r="9" spans="1:18" x14ac:dyDescent="0.2">
      <c r="A9" s="22"/>
    </row>
    <row r="10" spans="1:18"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v>43008</v>
      </c>
      <c r="Q10" s="33">
        <f t="shared" ref="Q10:R10" si="0">EOMONTH(P10,-3)</f>
        <v>42916</v>
      </c>
      <c r="R10" s="33">
        <f t="shared" si="0"/>
        <v>42825</v>
      </c>
    </row>
    <row r="12" spans="1:18" x14ac:dyDescent="0.2">
      <c r="A12" s="15" t="s">
        <v>35</v>
      </c>
      <c r="B12" s="19">
        <v>508.4</v>
      </c>
      <c r="C12" s="19">
        <f>1488.1-D12-E12-F12</f>
        <v>345.19999999999976</v>
      </c>
      <c r="D12" s="19">
        <f>1142.9-E12-F12</f>
        <v>371.60000000000008</v>
      </c>
      <c r="E12" s="19">
        <f>771.3-F12</f>
        <v>455.49999999999994</v>
      </c>
      <c r="F12" s="19">
        <v>315.8</v>
      </c>
      <c r="G12" s="19">
        <f>1367.6-H12-I12-J12</f>
        <v>304.89999999999986</v>
      </c>
      <c r="H12" s="19">
        <f>1062.7-I12-J12</f>
        <v>309.5</v>
      </c>
      <c r="I12" s="19">
        <f>753.2-J12</f>
        <v>440.1</v>
      </c>
      <c r="J12" s="19">
        <v>313.10000000000002</v>
      </c>
      <c r="K12" s="19">
        <f>1316.2-L12-M12-N12</f>
        <v>287.29999999999995</v>
      </c>
      <c r="L12" s="19">
        <v>293.20000000000005</v>
      </c>
      <c r="M12" s="19">
        <v>419.1</v>
      </c>
      <c r="N12" s="19">
        <v>316.60000000000002</v>
      </c>
      <c r="O12" s="19">
        <f>1286.6-P12-Q12-R12</f>
        <v>268.70000000000005</v>
      </c>
      <c r="P12" s="19">
        <f>1017.9-Q12-R12</f>
        <v>565.39999999999986</v>
      </c>
      <c r="Q12" s="19">
        <f>452.5-R12</f>
        <v>269.3</v>
      </c>
      <c r="R12" s="19">
        <v>183.2</v>
      </c>
    </row>
    <row r="13" spans="1:18" s="28" customFormat="1" x14ac:dyDescent="0.2">
      <c r="A13" s="28" t="s">
        <v>34</v>
      </c>
      <c r="B13" s="28">
        <f t="shared" ref="B13:N13" si="1">B12/F12-1</f>
        <v>0.60987967067764393</v>
      </c>
      <c r="C13" s="28">
        <f t="shared" si="1"/>
        <v>0.13217448343719229</v>
      </c>
      <c r="D13" s="28">
        <f t="shared" si="1"/>
        <v>0.20064620355411988</v>
      </c>
      <c r="E13" s="28">
        <f t="shared" si="1"/>
        <v>3.4992047261985793E-2</v>
      </c>
      <c r="F13" s="28">
        <f t="shared" si="1"/>
        <v>8.6234429894602727E-3</v>
      </c>
      <c r="G13" s="28">
        <f t="shared" si="1"/>
        <v>6.1260006961364022E-2</v>
      </c>
      <c r="H13" s="28">
        <f t="shared" si="1"/>
        <v>5.5593451568894725E-2</v>
      </c>
      <c r="I13" s="28">
        <f t="shared" si="1"/>
        <v>5.0107372942018502E-2</v>
      </c>
      <c r="J13" s="28">
        <f t="shared" si="1"/>
        <v>-1.1054958938723991E-2</v>
      </c>
      <c r="K13" s="28">
        <f t="shared" si="1"/>
        <v>6.9222180870859296E-2</v>
      </c>
      <c r="L13" s="28">
        <f t="shared" si="1"/>
        <v>-0.48142907675981583</v>
      </c>
      <c r="M13" s="28">
        <f t="shared" si="1"/>
        <v>0.55625696249535839</v>
      </c>
      <c r="N13" s="28">
        <f t="shared" si="1"/>
        <v>0.7281659388646291</v>
      </c>
    </row>
    <row r="14" spans="1:18"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c r="P14" s="32"/>
      <c r="Q14" s="32"/>
      <c r="R14" s="32"/>
    </row>
    <row r="16" spans="1:18" s="22" customFormat="1" x14ac:dyDescent="0.2">
      <c r="A16" s="30" t="s">
        <v>31</v>
      </c>
      <c r="B16" s="29">
        <v>134.80000000000001</v>
      </c>
      <c r="C16" s="29">
        <f>320.8-D16-E16-F16</f>
        <v>72.800000000000011</v>
      </c>
      <c r="D16" s="29">
        <f>248-E16-F16</f>
        <v>78.599999999999994</v>
      </c>
      <c r="E16" s="29">
        <f>169.4-F16</f>
        <v>118</v>
      </c>
      <c r="F16" s="29">
        <v>51.4</v>
      </c>
      <c r="G16" s="29">
        <f>268.8-H16-I16-J16</f>
        <v>60.600000000000023</v>
      </c>
      <c r="H16" s="29">
        <f>208.2-I16-J16</f>
        <v>54.199999999999989</v>
      </c>
      <c r="I16" s="29">
        <f>154-J16</f>
        <v>104</v>
      </c>
      <c r="J16" s="29">
        <v>50</v>
      </c>
      <c r="K16" s="29">
        <f>221.3-L16-M16-N16</f>
        <v>43.800000000000004</v>
      </c>
      <c r="L16" s="29">
        <v>40.400000000000034</v>
      </c>
      <c r="M16" s="29">
        <v>90.399999999999977</v>
      </c>
      <c r="N16" s="29">
        <v>46.699999999999996</v>
      </c>
      <c r="O16" s="29">
        <f>210.5-P16-Q16-R16</f>
        <v>36.000000000000014</v>
      </c>
      <c r="P16" s="29">
        <f>174.5-Q16-R16</f>
        <v>101.29999999999998</v>
      </c>
      <c r="Q16" s="29">
        <f>73.2-R16</f>
        <v>54.800000000000004</v>
      </c>
      <c r="R16" s="29">
        <v>18.399999999999999</v>
      </c>
    </row>
    <row r="17" spans="1:18" s="28" customFormat="1" x14ac:dyDescent="0.2">
      <c r="A17" s="28" t="s">
        <v>30</v>
      </c>
      <c r="B17" s="28">
        <f t="shared" ref="B17" si="2">+B16/B12</f>
        <v>0.26514555468135331</v>
      </c>
      <c r="C17" s="28">
        <f t="shared" ref="C17:D17" si="3">+C16/C12</f>
        <v>0.2108922363847047</v>
      </c>
      <c r="D17" s="28">
        <f t="shared" si="3"/>
        <v>0.21151776103336917</v>
      </c>
      <c r="E17" s="28">
        <f t="shared" ref="E17" si="4">+E16/E12</f>
        <v>0.2590559824368826</v>
      </c>
      <c r="F17" s="28">
        <f t="shared" ref="F17:G17" si="5">+F16/F12</f>
        <v>0.16276124129195693</v>
      </c>
      <c r="G17" s="28">
        <f t="shared" si="5"/>
        <v>0.19875368973433929</v>
      </c>
      <c r="H17" s="28">
        <f t="shared" ref="H17:I17" si="6">+H16/H12</f>
        <v>0.17512116316639739</v>
      </c>
      <c r="I17" s="28">
        <f t="shared" si="6"/>
        <v>0.23630992956146329</v>
      </c>
      <c r="J17" s="28">
        <f t="shared" ref="J17:K17" si="7">+J16/J12</f>
        <v>0.15969338869370808</v>
      </c>
      <c r="K17" s="28">
        <f t="shared" si="7"/>
        <v>0.15245388096066834</v>
      </c>
      <c r="L17" s="28">
        <f t="shared" ref="L17:M17" si="8">+L16/L12</f>
        <v>0.13778990450204648</v>
      </c>
      <c r="M17" s="28">
        <f t="shared" si="8"/>
        <v>0.21570031018849911</v>
      </c>
      <c r="N17" s="28">
        <f t="shared" ref="N17:O17" si="9">+N16/N12</f>
        <v>0.14750473783954515</v>
      </c>
      <c r="O17" s="28">
        <f t="shared" si="9"/>
        <v>0.13397841458876072</v>
      </c>
      <c r="P17" s="28">
        <f t="shared" ref="P17:R17" si="10">+P16/P12</f>
        <v>0.17916519278386983</v>
      </c>
      <c r="Q17" s="28">
        <f t="shared" si="10"/>
        <v>0.20349053100631267</v>
      </c>
      <c r="R17" s="28">
        <f t="shared" si="10"/>
        <v>0.10043668122270742</v>
      </c>
    </row>
    <row r="18" spans="1:18" s="23" customFormat="1" x14ac:dyDescent="0.2"/>
    <row r="19" spans="1:18"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row>
    <row r="20" spans="1:18"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row>
    <row r="21" spans="1:18"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row>
    <row r="22" spans="1:18" s="22" customFormat="1" x14ac:dyDescent="0.2">
      <c r="A22" s="22" t="s">
        <v>23</v>
      </c>
      <c r="B22" s="20">
        <f t="shared" ref="B22" si="11">B16+B19+B20+B21</f>
        <v>134.80000000000001</v>
      </c>
      <c r="C22" s="20">
        <f t="shared" ref="C22:D22" si="12">C16+C19+C20+C21</f>
        <v>72.800000000000011</v>
      </c>
      <c r="D22" s="20">
        <f t="shared" si="12"/>
        <v>78.599999999999994</v>
      </c>
      <c r="E22" s="20">
        <f t="shared" ref="E22:F22" si="13">E16+E19+E20+E21</f>
        <v>118</v>
      </c>
      <c r="F22" s="20">
        <f t="shared" si="13"/>
        <v>51.4</v>
      </c>
      <c r="G22" s="20">
        <f t="shared" ref="G22:H22" si="14">G16+G19+G20+G21</f>
        <v>60.600000000000023</v>
      </c>
      <c r="H22" s="20">
        <f t="shared" si="14"/>
        <v>54.199999999999989</v>
      </c>
      <c r="I22" s="20">
        <f t="shared" ref="I22:J22" si="15">I16+I19+I20+I21</f>
        <v>104</v>
      </c>
      <c r="J22" s="20">
        <f t="shared" si="15"/>
        <v>50</v>
      </c>
      <c r="K22" s="20">
        <f t="shared" ref="K22:R22" si="16">K16+K19+K20+K21</f>
        <v>43.800000000000004</v>
      </c>
      <c r="L22" s="20">
        <f t="shared" si="16"/>
        <v>40.400000000000034</v>
      </c>
      <c r="M22" s="20">
        <f t="shared" si="16"/>
        <v>90.399999999999977</v>
      </c>
      <c r="N22" s="20">
        <f t="shared" si="16"/>
        <v>46.699999999999996</v>
      </c>
      <c r="O22" s="20">
        <f t="shared" si="16"/>
        <v>36.000000000000014</v>
      </c>
      <c r="P22" s="20">
        <f t="shared" si="16"/>
        <v>101.29999999999998</v>
      </c>
      <c r="Q22" s="20">
        <f t="shared" si="16"/>
        <v>54.800000000000004</v>
      </c>
      <c r="R22" s="20">
        <f t="shared" si="16"/>
        <v>18.399999999999999</v>
      </c>
    </row>
    <row r="23" spans="1:18" s="22" customFormat="1" x14ac:dyDescent="0.2">
      <c r="B23" s="20"/>
      <c r="C23" s="20"/>
      <c r="D23" s="20"/>
      <c r="E23" s="20"/>
      <c r="F23" s="20"/>
      <c r="G23" s="20"/>
      <c r="H23" s="20"/>
      <c r="I23" s="20"/>
      <c r="J23" s="20"/>
      <c r="K23" s="20"/>
      <c r="L23" s="20"/>
      <c r="M23" s="20"/>
      <c r="N23" s="20"/>
      <c r="O23" s="20"/>
      <c r="P23" s="20"/>
      <c r="Q23" s="20"/>
      <c r="R23" s="20"/>
    </row>
    <row r="24" spans="1:18" s="22" customFormat="1" x14ac:dyDescent="0.2">
      <c r="A24" s="22" t="s">
        <v>27</v>
      </c>
      <c r="B24" s="20">
        <f t="shared" ref="B24:O24" si="17">SUM(B22:E22)</f>
        <v>404.20000000000005</v>
      </c>
      <c r="C24" s="20">
        <f t="shared" si="17"/>
        <v>320.79999999999995</v>
      </c>
      <c r="D24" s="20">
        <f t="shared" si="17"/>
        <v>308.60000000000002</v>
      </c>
      <c r="E24" s="20">
        <f t="shared" si="17"/>
        <v>284.20000000000005</v>
      </c>
      <c r="F24" s="20">
        <f t="shared" si="17"/>
        <v>270.20000000000005</v>
      </c>
      <c r="G24" s="20">
        <f t="shared" si="17"/>
        <v>268.8</v>
      </c>
      <c r="H24" s="20">
        <f t="shared" si="17"/>
        <v>252</v>
      </c>
      <c r="I24" s="20">
        <f t="shared" si="17"/>
        <v>238.20000000000005</v>
      </c>
      <c r="J24" s="20">
        <f t="shared" si="17"/>
        <v>224.60000000000002</v>
      </c>
      <c r="K24" s="20">
        <f t="shared" si="17"/>
        <v>221.3</v>
      </c>
      <c r="L24" s="20">
        <f t="shared" si="17"/>
        <v>213.5</v>
      </c>
      <c r="M24" s="20">
        <f t="shared" si="17"/>
        <v>274.39999999999998</v>
      </c>
      <c r="N24" s="20">
        <f t="shared" si="17"/>
        <v>238.8</v>
      </c>
      <c r="O24" s="20">
        <f t="shared" si="17"/>
        <v>210.50000000000003</v>
      </c>
      <c r="P24" s="20"/>
      <c r="Q24" s="20"/>
      <c r="R24" s="20"/>
    </row>
    <row r="25" spans="1:18"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c r="Q25" s="27"/>
      <c r="R25" s="27"/>
    </row>
    <row r="26" spans="1:18"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c r="Q26" s="21"/>
      <c r="R26" s="21"/>
    </row>
    <row r="27" spans="1:18" s="24" customFormat="1" x14ac:dyDescent="0.2">
      <c r="A27" s="22" t="s">
        <v>24</v>
      </c>
      <c r="B27" s="20">
        <f t="shared" ref="B27" si="18">B24+B25+B26</f>
        <v>404.20000000000005</v>
      </c>
      <c r="C27" s="20">
        <f t="shared" ref="C27:D27" si="19">C24+C25+C26</f>
        <v>320.79999999999995</v>
      </c>
      <c r="D27" s="20">
        <f t="shared" si="19"/>
        <v>308.60000000000002</v>
      </c>
      <c r="E27" s="20">
        <f t="shared" ref="E27" si="20">E24+E25+E26</f>
        <v>284.20000000000005</v>
      </c>
      <c r="F27" s="20">
        <f t="shared" ref="F27:G27" si="21">F24+F25+F26</f>
        <v>270.20000000000005</v>
      </c>
      <c r="G27" s="20">
        <f t="shared" si="21"/>
        <v>268.8</v>
      </c>
      <c r="H27" s="20">
        <f t="shared" ref="H27:I27" si="22">H24+H25+H26</f>
        <v>252</v>
      </c>
      <c r="I27" s="20">
        <f t="shared" si="22"/>
        <v>238.20000000000005</v>
      </c>
      <c r="J27" s="20">
        <f t="shared" ref="J27:O27" si="23">J24+J25+J26</f>
        <v>224.60000000000002</v>
      </c>
      <c r="K27" s="20">
        <f t="shared" si="23"/>
        <v>221.3</v>
      </c>
      <c r="L27" s="20">
        <f t="shared" si="23"/>
        <v>213.5</v>
      </c>
      <c r="M27" s="20">
        <f t="shared" si="23"/>
        <v>274.39999999999998</v>
      </c>
      <c r="N27" s="20">
        <f t="shared" si="23"/>
        <v>238.8</v>
      </c>
      <c r="O27" s="20">
        <f t="shared" si="23"/>
        <v>210.50000000000003</v>
      </c>
      <c r="P27" s="20"/>
      <c r="Q27" s="20"/>
      <c r="R27" s="20"/>
    </row>
    <row r="28" spans="1:18" s="23" customFormat="1" x14ac:dyDescent="0.2"/>
    <row r="29" spans="1:18" s="22" customFormat="1" x14ac:dyDescent="0.2">
      <c r="A29" s="22" t="s">
        <v>23</v>
      </c>
      <c r="B29" s="20">
        <f t="shared" ref="B29:C29" si="24">B22</f>
        <v>134.80000000000001</v>
      </c>
      <c r="C29" s="20">
        <f t="shared" si="24"/>
        <v>72.800000000000011</v>
      </c>
      <c r="D29" s="20">
        <f t="shared" ref="D29:E29" si="25">D22</f>
        <v>78.599999999999994</v>
      </c>
      <c r="E29" s="20">
        <f t="shared" si="25"/>
        <v>118</v>
      </c>
      <c r="F29" s="20">
        <f t="shared" ref="F29:H29" si="26">F22</f>
        <v>51.4</v>
      </c>
      <c r="G29" s="20">
        <f t="shared" si="26"/>
        <v>60.600000000000023</v>
      </c>
      <c r="H29" s="20">
        <f t="shared" si="26"/>
        <v>54.199999999999989</v>
      </c>
      <c r="I29" s="20">
        <f t="shared" ref="I29:J29" si="27">I22</f>
        <v>104</v>
      </c>
      <c r="J29" s="20">
        <f t="shared" si="27"/>
        <v>50</v>
      </c>
      <c r="K29" s="20">
        <f t="shared" ref="K29:R29" si="28">K22</f>
        <v>43.800000000000004</v>
      </c>
      <c r="L29" s="20">
        <f t="shared" si="28"/>
        <v>40.400000000000034</v>
      </c>
      <c r="M29" s="20">
        <f t="shared" si="28"/>
        <v>90.399999999999977</v>
      </c>
      <c r="N29" s="20">
        <f t="shared" si="28"/>
        <v>46.699999999999996</v>
      </c>
      <c r="O29" s="20">
        <f t="shared" si="28"/>
        <v>36.000000000000014</v>
      </c>
      <c r="P29" s="20">
        <f t="shared" si="28"/>
        <v>101.29999999999998</v>
      </c>
      <c r="Q29" s="20">
        <f t="shared" si="28"/>
        <v>54.800000000000004</v>
      </c>
      <c r="R29" s="20">
        <f t="shared" si="28"/>
        <v>18.399999999999999</v>
      </c>
    </row>
    <row r="30" spans="1:18" s="11" customFormat="1" x14ac:dyDescent="0.2">
      <c r="A30" s="19" t="s">
        <v>22</v>
      </c>
      <c r="B30" s="19">
        <v>-8.3000000000000007</v>
      </c>
      <c r="C30" s="19">
        <f>-34.2-D30-E30-F30</f>
        <v>-5.8000000000000043</v>
      </c>
      <c r="D30" s="19">
        <f>-28.4-E30-F30</f>
        <v>-8.3999999999999986</v>
      </c>
      <c r="E30" s="19">
        <f>-20-F30</f>
        <v>-9.3000000000000007</v>
      </c>
      <c r="F30" s="19">
        <v>-10.7</v>
      </c>
      <c r="G30" s="19">
        <f>-46.6-H30-I30-J30</f>
        <v>-11.399999999999997</v>
      </c>
      <c r="H30" s="19">
        <f>-35.2-I30-J30</f>
        <v>-12.400000000000004</v>
      </c>
      <c r="I30" s="19">
        <f>-22.8-J30</f>
        <v>-12.4</v>
      </c>
      <c r="J30" s="19">
        <v>-10.4</v>
      </c>
      <c r="K30" s="19">
        <v>-13.399999999999999</v>
      </c>
      <c r="L30" s="19">
        <v>-9.5000000000000036</v>
      </c>
      <c r="M30" s="19">
        <v>-15.1</v>
      </c>
      <c r="N30" s="19">
        <v>-10.1</v>
      </c>
      <c r="O30" s="19"/>
      <c r="P30" s="19"/>
      <c r="Q30" s="19"/>
      <c r="R30" s="19"/>
    </row>
    <row r="31" spans="1:18" s="11" customFormat="1" x14ac:dyDescent="0.2">
      <c r="A31" s="19" t="s">
        <v>21</v>
      </c>
      <c r="B31" s="19">
        <v>-3.5</v>
      </c>
      <c r="C31" s="19">
        <f>-35.2-D31-E31-F31</f>
        <v>-5.5000000000000062</v>
      </c>
      <c r="D31" s="19">
        <f>-29.7-E31-F31</f>
        <v>-18.099999999999998</v>
      </c>
      <c r="E31" s="19">
        <f>-11.6-F31</f>
        <v>-10.799999999999999</v>
      </c>
      <c r="F31" s="19">
        <v>-0.8</v>
      </c>
      <c r="G31" s="19">
        <f>-3.8-H31-I31-J31</f>
        <v>-8.2999999999999989</v>
      </c>
      <c r="H31" s="19">
        <f>4.5-I31-J31</f>
        <v>5.6</v>
      </c>
      <c r="I31" s="19">
        <f>-1.1-J31</f>
        <v>-9</v>
      </c>
      <c r="J31" s="19">
        <v>7.9</v>
      </c>
      <c r="K31" s="19">
        <v>-2</v>
      </c>
      <c r="L31" s="19">
        <v>-1.0999999999999979</v>
      </c>
      <c r="M31" s="19">
        <v>-13.700000000000001</v>
      </c>
      <c r="N31" s="19">
        <v>-8.6</v>
      </c>
      <c r="O31" s="19"/>
      <c r="P31" s="19"/>
      <c r="Q31" s="19"/>
      <c r="R31" s="19"/>
    </row>
    <row r="32" spans="1:18" s="11" customFormat="1" x14ac:dyDescent="0.2">
      <c r="A32" s="19" t="s">
        <v>20</v>
      </c>
      <c r="B32" s="19">
        <v>-220.2</v>
      </c>
      <c r="C32" s="19">
        <f>34.3-D32-E32-F32</f>
        <v>8.1999999999999886</v>
      </c>
      <c r="D32" s="19">
        <f>26.1-E32-F32</f>
        <v>101</v>
      </c>
      <c r="E32" s="19">
        <f>-74.9-F32</f>
        <v>95.799999999999983</v>
      </c>
      <c r="F32" s="19">
        <v>-170.7</v>
      </c>
      <c r="G32" s="19">
        <f>-24.4-H32-I32-J32</f>
        <v>22</v>
      </c>
      <c r="H32" s="19">
        <f>-46.4-I32-J32</f>
        <v>74.099999999999994</v>
      </c>
      <c r="I32" s="19">
        <f>-120.5-J32</f>
        <v>41.5</v>
      </c>
      <c r="J32" s="19">
        <v>-162</v>
      </c>
      <c r="K32" s="19">
        <v>-27.600000000000009</v>
      </c>
      <c r="L32" s="19">
        <v>131.464</v>
      </c>
      <c r="M32" s="19">
        <v>18.236000000000004</v>
      </c>
      <c r="N32" s="19">
        <v>-126.1</v>
      </c>
      <c r="O32" s="19">
        <f>12.2-P32-Q32-R32</f>
        <v>-72.900000000000034</v>
      </c>
      <c r="P32" s="19">
        <f>85.1-Q32-R32</f>
        <v>148.80000000000001</v>
      </c>
      <c r="Q32" s="19">
        <f>-63.7-R32</f>
        <v>-2.2000000000000028</v>
      </c>
      <c r="R32" s="19">
        <v>-61.5</v>
      </c>
    </row>
    <row r="33" spans="1:18"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c r="P33" s="19"/>
      <c r="Q33" s="19"/>
      <c r="R33" s="19"/>
    </row>
    <row r="34" spans="1:18"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c r="P34" s="21"/>
      <c r="Q34" s="21"/>
      <c r="R34" s="21"/>
    </row>
    <row r="35" spans="1:18" s="20" customFormat="1" x14ac:dyDescent="0.2">
      <c r="A35" s="20" t="s">
        <v>17</v>
      </c>
      <c r="B35" s="20">
        <v>-94.7</v>
      </c>
      <c r="C35" s="20">
        <f>292.1-D35-E35-F35</f>
        <v>68.300000000000011</v>
      </c>
      <c r="D35" s="20">
        <f>223.8-E35-F35</f>
        <v>157.80000000000001</v>
      </c>
      <c r="E35" s="20">
        <f>66-F35</f>
        <v>196.1</v>
      </c>
      <c r="F35" s="20">
        <v>-130.1</v>
      </c>
      <c r="G35" s="20">
        <f>155.5-H35-I35-J35</f>
        <v>46.099999999999994</v>
      </c>
      <c r="H35" s="20">
        <f>109.4-I35-J35</f>
        <v>107.60000000000001</v>
      </c>
      <c r="I35" s="20">
        <f>1.8-J35</f>
        <v>121.8</v>
      </c>
      <c r="J35" s="20">
        <v>-120</v>
      </c>
      <c r="K35" s="20">
        <f>31.373-L35-M35-N35</f>
        <v>-149.22700000000003</v>
      </c>
      <c r="L35" s="20">
        <v>217.328</v>
      </c>
      <c r="M35" s="20">
        <v>42.67199999999999</v>
      </c>
      <c r="N35" s="20">
        <v>-79.399999999999991</v>
      </c>
      <c r="O35" s="20">
        <f t="shared" ref="O35:R35" si="29">SUM(O29:O34)</f>
        <v>-36.90000000000002</v>
      </c>
      <c r="P35" s="20">
        <f t="shared" si="29"/>
        <v>250.1</v>
      </c>
      <c r="Q35" s="20">
        <f t="shared" si="29"/>
        <v>52.6</v>
      </c>
      <c r="R35" s="20">
        <f t="shared" si="29"/>
        <v>-43.1</v>
      </c>
    </row>
    <row r="36" spans="1:18" s="11" customFormat="1" x14ac:dyDescent="0.2">
      <c r="A36" s="19" t="s">
        <v>16</v>
      </c>
      <c r="B36" s="21">
        <v>-9.9</v>
      </c>
      <c r="C36" s="21">
        <f>-43.5-D36-E36-F36</f>
        <v>-18.5</v>
      </c>
      <c r="D36" s="21">
        <f>-25-E36-F36</f>
        <v>-8.2000000000000011</v>
      </c>
      <c r="E36" s="21">
        <f>-16.8-F36</f>
        <v>-7.4</v>
      </c>
      <c r="F36" s="21">
        <v>-9.4</v>
      </c>
      <c r="G36" s="21">
        <f>-47.6-H36-I36-J36</f>
        <v>-15.700000000000001</v>
      </c>
      <c r="H36" s="21">
        <f>-31.9-I36-J36</f>
        <v>-8.6</v>
      </c>
      <c r="I36" s="21">
        <f>-23.3-J36</f>
        <v>-10.4</v>
      </c>
      <c r="J36" s="21">
        <v>-12.9</v>
      </c>
      <c r="K36" s="21">
        <f>-26.561-12.176-L36-M36-N36</f>
        <v>-7.3370000000000015</v>
      </c>
      <c r="L36" s="21">
        <v>-18.727</v>
      </c>
      <c r="M36" s="21">
        <v>-2.2729999999999979</v>
      </c>
      <c r="N36" s="21">
        <v>-10.4</v>
      </c>
      <c r="O36" s="21">
        <f>-44.5-P36-Q36-R36</f>
        <v>-12.200000000000003</v>
      </c>
      <c r="P36" s="21">
        <f>-32.3-Q36-R36</f>
        <v>-19.599999999999998</v>
      </c>
      <c r="Q36" s="21">
        <f>-12.7-R36</f>
        <v>-6.4999999999999991</v>
      </c>
      <c r="R36" s="21">
        <v>-6.2</v>
      </c>
    </row>
    <row r="37" spans="1:18" s="20" customFormat="1" x14ac:dyDescent="0.2">
      <c r="A37" s="20" t="s">
        <v>15</v>
      </c>
      <c r="B37" s="20">
        <f t="shared" ref="B37:R37" si="30">SUM(B35:B36)</f>
        <v>-104.60000000000001</v>
      </c>
      <c r="C37" s="20">
        <f t="shared" si="30"/>
        <v>49.800000000000011</v>
      </c>
      <c r="D37" s="20">
        <f t="shared" si="30"/>
        <v>149.60000000000002</v>
      </c>
      <c r="E37" s="20">
        <f t="shared" si="30"/>
        <v>188.7</v>
      </c>
      <c r="F37" s="20">
        <f t="shared" si="30"/>
        <v>-139.5</v>
      </c>
      <c r="G37" s="20">
        <f t="shared" si="30"/>
        <v>30.399999999999991</v>
      </c>
      <c r="H37" s="20">
        <f t="shared" si="30"/>
        <v>99.000000000000014</v>
      </c>
      <c r="I37" s="20">
        <f t="shared" si="30"/>
        <v>111.39999999999999</v>
      </c>
      <c r="J37" s="20">
        <f t="shared" si="30"/>
        <v>-132.9</v>
      </c>
      <c r="K37" s="20">
        <f t="shared" si="30"/>
        <v>-156.56400000000002</v>
      </c>
      <c r="L37" s="20">
        <f t="shared" si="30"/>
        <v>198.601</v>
      </c>
      <c r="M37" s="20">
        <f t="shared" si="30"/>
        <v>40.398999999999994</v>
      </c>
      <c r="N37" s="20">
        <f t="shared" si="30"/>
        <v>-89.8</v>
      </c>
      <c r="O37" s="20">
        <f t="shared" si="30"/>
        <v>-49.100000000000023</v>
      </c>
      <c r="P37" s="20">
        <f t="shared" si="30"/>
        <v>230.5</v>
      </c>
      <c r="Q37" s="20">
        <f t="shared" si="30"/>
        <v>46.1</v>
      </c>
      <c r="R37" s="20">
        <f t="shared" si="30"/>
        <v>-49.300000000000004</v>
      </c>
    </row>
    <row r="38" spans="1:18" x14ac:dyDescent="0.2">
      <c r="G38" s="11"/>
      <c r="H38" s="11"/>
      <c r="I38" s="11"/>
      <c r="K38" s="11"/>
    </row>
    <row r="39" spans="1:18" s="16" customFormat="1" x14ac:dyDescent="0.2">
      <c r="A39" s="18" t="s">
        <v>14</v>
      </c>
      <c r="B39" s="19">
        <v>0</v>
      </c>
      <c r="C39" s="19">
        <v>0</v>
      </c>
      <c r="D39" s="19">
        <v>0</v>
      </c>
      <c r="E39" s="19">
        <v>0</v>
      </c>
      <c r="F39" s="19">
        <v>0</v>
      </c>
      <c r="G39" s="19">
        <v>0</v>
      </c>
      <c r="H39" s="19">
        <v>20</v>
      </c>
      <c r="I39" s="19">
        <f>7.608+0.09+2.56+11.616</f>
        <v>21.873999999999999</v>
      </c>
      <c r="J39" s="19">
        <v>0</v>
      </c>
      <c r="K39" s="19">
        <v>0</v>
      </c>
      <c r="L39" s="19">
        <v>0</v>
      </c>
      <c r="M39" s="19">
        <v>0</v>
      </c>
      <c r="N39" s="19">
        <v>0</v>
      </c>
      <c r="O39" s="19">
        <v>0</v>
      </c>
      <c r="P39" s="19">
        <v>0</v>
      </c>
      <c r="Q39" s="19"/>
      <c r="R39" s="19"/>
    </row>
    <row r="40" spans="1:18" s="16" customFormat="1" x14ac:dyDescent="0.2">
      <c r="A40" s="18" t="s">
        <v>13</v>
      </c>
      <c r="B40" s="19">
        <f>842.3+B44</f>
        <v>933.09999999999991</v>
      </c>
      <c r="C40" s="19">
        <f>467.7+C44</f>
        <v>693.3</v>
      </c>
      <c r="D40" s="19">
        <f>468.5+D44</f>
        <v>756.7</v>
      </c>
      <c r="E40" s="19">
        <f>619+E44</f>
        <v>791.6</v>
      </c>
      <c r="F40" s="19">
        <f>804+F44</f>
        <v>924.2</v>
      </c>
      <c r="G40" s="19">
        <f>635+G44</f>
        <v>877.24</v>
      </c>
      <c r="H40" s="19">
        <f>885.2+1.5</f>
        <v>886.7</v>
      </c>
      <c r="I40" s="19">
        <f>46.39+853.692+1.5</f>
        <v>901.58199999999999</v>
      </c>
      <c r="J40" s="19">
        <f>863.5+152.5-102.4</f>
        <v>913.6</v>
      </c>
      <c r="K40" s="19">
        <f>719.7+K44</f>
        <v>889.80000000000007</v>
      </c>
      <c r="L40" s="19">
        <f>856+29.2</f>
        <v>885.2</v>
      </c>
      <c r="M40" s="19">
        <v>850</v>
      </c>
      <c r="N40" s="19">
        <v>850</v>
      </c>
      <c r="O40" s="19">
        <v>850</v>
      </c>
      <c r="P40" s="19">
        <v>850</v>
      </c>
      <c r="Q40" s="19"/>
      <c r="R40" s="19"/>
    </row>
    <row r="41" spans="1:18" s="16" customFormat="1" x14ac:dyDescent="0.2">
      <c r="A41" s="18" t="s">
        <v>12</v>
      </c>
      <c r="B41" s="19">
        <f t="shared" ref="B41:L41" si="31">SUM(B39:B40)</f>
        <v>933.09999999999991</v>
      </c>
      <c r="C41" s="19">
        <f t="shared" si="31"/>
        <v>693.3</v>
      </c>
      <c r="D41" s="19">
        <f t="shared" si="31"/>
        <v>756.7</v>
      </c>
      <c r="E41" s="19">
        <f t="shared" si="31"/>
        <v>791.6</v>
      </c>
      <c r="F41" s="19">
        <f t="shared" si="31"/>
        <v>924.2</v>
      </c>
      <c r="G41" s="19">
        <f t="shared" si="31"/>
        <v>877.24</v>
      </c>
      <c r="H41" s="19">
        <f t="shared" si="31"/>
        <v>906.7</v>
      </c>
      <c r="I41" s="19">
        <f t="shared" si="31"/>
        <v>923.45600000000002</v>
      </c>
      <c r="J41" s="19">
        <f t="shared" si="31"/>
        <v>913.6</v>
      </c>
      <c r="K41" s="19">
        <f t="shared" si="31"/>
        <v>889.80000000000007</v>
      </c>
      <c r="L41" s="19">
        <f t="shared" si="31"/>
        <v>885.2</v>
      </c>
      <c r="M41" s="19">
        <f>M39+M40</f>
        <v>850</v>
      </c>
      <c r="N41" s="19">
        <f>N39+N40</f>
        <v>850</v>
      </c>
      <c r="O41" s="19">
        <f>O39+O40</f>
        <v>850</v>
      </c>
      <c r="P41" s="19">
        <f>P39+P40</f>
        <v>850</v>
      </c>
      <c r="Q41" s="19"/>
      <c r="R41" s="19"/>
    </row>
    <row r="42" spans="1:18" s="16" customFormat="1" x14ac:dyDescent="0.2">
      <c r="A42" s="18" t="s">
        <v>11</v>
      </c>
      <c r="B42" s="17">
        <v>2144</v>
      </c>
      <c r="C42" s="17">
        <v>2144</v>
      </c>
      <c r="D42" s="17">
        <v>2144</v>
      </c>
      <c r="E42" s="17">
        <v>2144</v>
      </c>
      <c r="F42" s="17">
        <v>2144</v>
      </c>
      <c r="G42" s="17">
        <v>2144</v>
      </c>
      <c r="H42" s="17">
        <v>2144</v>
      </c>
      <c r="I42" s="17">
        <v>2144</v>
      </c>
      <c r="J42" s="17">
        <v>2144</v>
      </c>
      <c r="K42" s="17">
        <v>2144</v>
      </c>
      <c r="L42" s="17">
        <v>2144</v>
      </c>
      <c r="M42" s="17">
        <v>2144</v>
      </c>
      <c r="N42" s="17">
        <v>2144</v>
      </c>
      <c r="O42" s="17">
        <v>2144</v>
      </c>
      <c r="P42" s="17">
        <v>2144</v>
      </c>
      <c r="Q42" s="17"/>
      <c r="R42" s="17"/>
    </row>
    <row r="43" spans="1:18" x14ac:dyDescent="0.2">
      <c r="B43" s="16"/>
      <c r="C43" s="16"/>
      <c r="D43" s="16"/>
      <c r="E43" s="16"/>
      <c r="F43" s="16"/>
      <c r="G43" s="16"/>
      <c r="H43" s="16"/>
      <c r="I43" s="16"/>
      <c r="J43" s="16"/>
      <c r="K43" s="16"/>
      <c r="L43" s="16"/>
      <c r="M43" s="16"/>
      <c r="N43" s="16"/>
      <c r="O43" s="16"/>
      <c r="P43" s="16"/>
      <c r="Q43" s="16"/>
      <c r="R43" s="16"/>
    </row>
    <row r="44" spans="1:18" x14ac:dyDescent="0.2">
      <c r="A44" s="15" t="s">
        <v>10</v>
      </c>
      <c r="B44" s="14">
        <v>90.8</v>
      </c>
      <c r="C44" s="14">
        <v>225.6</v>
      </c>
      <c r="D44" s="14">
        <v>288.2</v>
      </c>
      <c r="E44" s="14">
        <v>172.6</v>
      </c>
      <c r="F44" s="14">
        <v>120.2</v>
      </c>
      <c r="G44" s="14">
        <v>242.24</v>
      </c>
      <c r="H44" s="14">
        <v>263.2</v>
      </c>
      <c r="I44" s="14">
        <v>183.7</v>
      </c>
      <c r="J44" s="14">
        <v>156.4</v>
      </c>
      <c r="K44" s="14">
        <v>170.1</v>
      </c>
      <c r="L44" s="14">
        <v>195</v>
      </c>
      <c r="M44" s="14">
        <f>N44</f>
        <v>134</v>
      </c>
      <c r="N44" s="14">
        <f>O44</f>
        <v>134</v>
      </c>
      <c r="O44" s="14">
        <v>134</v>
      </c>
      <c r="P44" s="14">
        <v>134</v>
      </c>
      <c r="Q44" s="14"/>
      <c r="R44" s="14"/>
    </row>
    <row r="46" spans="1:18" x14ac:dyDescent="0.2">
      <c r="A46" s="1" t="s">
        <v>9</v>
      </c>
      <c r="B46" s="13">
        <f t="shared" ref="B46:O46" si="32">SUM(B12:E12)</f>
        <v>1680.6999999999998</v>
      </c>
      <c r="C46" s="13">
        <f t="shared" si="32"/>
        <v>1488.0999999999997</v>
      </c>
      <c r="D46" s="13">
        <f t="shared" si="32"/>
        <v>1447.8</v>
      </c>
      <c r="E46" s="13">
        <f t="shared" si="32"/>
        <v>1385.6999999999998</v>
      </c>
      <c r="F46" s="13">
        <f t="shared" si="32"/>
        <v>1370.2999999999997</v>
      </c>
      <c r="G46" s="13">
        <f t="shared" si="32"/>
        <v>1367.6</v>
      </c>
      <c r="H46" s="13">
        <f t="shared" si="32"/>
        <v>1350</v>
      </c>
      <c r="I46" s="13">
        <f t="shared" si="32"/>
        <v>1333.7</v>
      </c>
      <c r="J46" s="13">
        <f t="shared" si="32"/>
        <v>1312.7</v>
      </c>
      <c r="K46" s="13">
        <f t="shared" si="32"/>
        <v>1316.2</v>
      </c>
      <c r="L46" s="13">
        <f t="shared" si="32"/>
        <v>1297.6000000000001</v>
      </c>
      <c r="M46" s="13">
        <f t="shared" si="32"/>
        <v>1569.8</v>
      </c>
      <c r="N46" s="13">
        <f t="shared" si="32"/>
        <v>1419.9999999999998</v>
      </c>
      <c r="O46" s="13">
        <f t="shared" si="32"/>
        <v>1286.5999999999999</v>
      </c>
      <c r="P46" s="12">
        <v>1291</v>
      </c>
      <c r="Q46" s="12">
        <f>421+307+237+302</f>
        <v>1267</v>
      </c>
      <c r="R46" s="12">
        <f>307+237+302+377</f>
        <v>1223</v>
      </c>
    </row>
    <row r="47" spans="1:18" x14ac:dyDescent="0.2">
      <c r="A47" s="1" t="s">
        <v>8</v>
      </c>
      <c r="B47" s="13">
        <f t="shared" ref="B47:C47" si="33">B27</f>
        <v>404.20000000000005</v>
      </c>
      <c r="C47" s="13">
        <f t="shared" si="33"/>
        <v>320.79999999999995</v>
      </c>
      <c r="D47" s="13">
        <f t="shared" ref="D47:E47" si="34">D27</f>
        <v>308.60000000000002</v>
      </c>
      <c r="E47" s="13">
        <f t="shared" si="34"/>
        <v>284.20000000000005</v>
      </c>
      <c r="F47" s="13">
        <f t="shared" ref="F47:G47" si="35">F27</f>
        <v>270.20000000000005</v>
      </c>
      <c r="G47" s="13">
        <f t="shared" si="35"/>
        <v>268.8</v>
      </c>
      <c r="H47" s="13">
        <f t="shared" ref="H47:O47" si="36">H27</f>
        <v>252</v>
      </c>
      <c r="I47" s="13">
        <f t="shared" si="36"/>
        <v>238.20000000000005</v>
      </c>
      <c r="J47" s="13">
        <f t="shared" si="36"/>
        <v>224.60000000000002</v>
      </c>
      <c r="K47" s="13">
        <f t="shared" si="36"/>
        <v>221.3</v>
      </c>
      <c r="L47" s="13">
        <f t="shared" si="36"/>
        <v>213.5</v>
      </c>
      <c r="M47" s="13">
        <f t="shared" si="36"/>
        <v>274.39999999999998</v>
      </c>
      <c r="N47" s="13">
        <f t="shared" si="36"/>
        <v>238.8</v>
      </c>
      <c r="O47" s="13">
        <f t="shared" si="36"/>
        <v>210.50000000000003</v>
      </c>
      <c r="P47" s="12">
        <v>212</v>
      </c>
      <c r="Q47" s="11"/>
      <c r="R47" s="11"/>
    </row>
    <row r="48" spans="1:18" x14ac:dyDescent="0.2">
      <c r="A48" s="1" t="s">
        <v>7</v>
      </c>
      <c r="B48" s="13">
        <f t="shared" ref="B48:H48" si="37">SUM(B37:E37)</f>
        <v>283.5</v>
      </c>
      <c r="C48" s="13">
        <f t="shared" si="37"/>
        <v>248.60000000000002</v>
      </c>
      <c r="D48" s="13">
        <f t="shared" si="37"/>
        <v>229.2</v>
      </c>
      <c r="E48" s="13">
        <f t="shared" si="37"/>
        <v>178.6</v>
      </c>
      <c r="F48" s="13">
        <f t="shared" si="37"/>
        <v>101.3</v>
      </c>
      <c r="G48" s="13">
        <f t="shared" si="37"/>
        <v>107.9</v>
      </c>
      <c r="H48" s="13">
        <f t="shared" si="37"/>
        <v>-79.064000000000021</v>
      </c>
      <c r="I48" s="13">
        <f>J48+I37-M37</f>
        <v>54.439</v>
      </c>
      <c r="J48" s="13">
        <f>K48+J37-N37</f>
        <v>-16.561999999999998</v>
      </c>
      <c r="K48" s="12">
        <v>26.538000000000004</v>
      </c>
      <c r="L48" s="13"/>
      <c r="M48" s="13"/>
      <c r="N48" s="13"/>
      <c r="O48" s="13">
        <f>SUM(O37:R37)</f>
        <v>178.19999999999996</v>
      </c>
      <c r="P48" s="12">
        <v>132.19999999999999</v>
      </c>
      <c r="Q48" s="11"/>
      <c r="R48" s="11"/>
    </row>
    <row r="50" spans="1:18" s="10" customFormat="1" x14ac:dyDescent="0.2">
      <c r="A50" s="10" t="s">
        <v>6</v>
      </c>
      <c r="B50" s="10">
        <f t="shared" ref="B50:C50" si="38">+SUM(B39:B40)/B47</f>
        <v>2.308510638297872</v>
      </c>
      <c r="C50" s="10">
        <f t="shared" si="38"/>
        <v>2.1611596009975065</v>
      </c>
      <c r="D50" s="10">
        <f t="shared" ref="D50" si="39">+SUM(D39:D40)/D47</f>
        <v>2.4520414776409591</v>
      </c>
      <c r="E50" s="10">
        <f t="shared" ref="E50:F50" si="40">+SUM(E39:E40)/E47</f>
        <v>2.7853624208304009</v>
      </c>
      <c r="F50" s="10">
        <f t="shared" si="40"/>
        <v>3.4204293116210209</v>
      </c>
      <c r="G50" s="10">
        <f t="shared" ref="G50:H50" si="41">+SUM(G39:G40)/G47</f>
        <v>3.2635416666666663</v>
      </c>
      <c r="H50" s="10">
        <f t="shared" si="41"/>
        <v>3.5980158730158731</v>
      </c>
      <c r="I50" s="10">
        <f t="shared" ref="I50:J50" si="42">+SUM(I39:I40)/I47</f>
        <v>3.8768094038622998</v>
      </c>
      <c r="J50" s="10">
        <f t="shared" si="42"/>
        <v>4.0676758682101513</v>
      </c>
      <c r="K50" s="10">
        <f t="shared" ref="K50:P50" si="43">+SUM(K39:K40)/K47</f>
        <v>4.0207862629914146</v>
      </c>
      <c r="L50" s="10">
        <f t="shared" si="43"/>
        <v>4.1461358313817334</v>
      </c>
      <c r="M50" s="10">
        <f t="shared" si="43"/>
        <v>3.0976676384839652</v>
      </c>
      <c r="N50" s="10">
        <f t="shared" si="43"/>
        <v>3.5594639865996647</v>
      </c>
      <c r="O50" s="10">
        <f t="shared" si="43"/>
        <v>4.0380047505938235</v>
      </c>
      <c r="P50" s="10">
        <f t="shared" si="43"/>
        <v>4.0094339622641506</v>
      </c>
    </row>
    <row r="51" spans="1:18" s="10" customFormat="1" x14ac:dyDescent="0.2">
      <c r="A51" s="10" t="s">
        <v>5</v>
      </c>
      <c r="B51" s="10">
        <f t="shared" ref="B51:C51" si="44">+B41/B47</f>
        <v>2.308510638297872</v>
      </c>
      <c r="C51" s="10">
        <f t="shared" si="44"/>
        <v>2.1611596009975065</v>
      </c>
      <c r="D51" s="10">
        <f t="shared" ref="D51" si="45">+D41/D47</f>
        <v>2.4520414776409591</v>
      </c>
      <c r="E51" s="10">
        <f t="shared" ref="E51:F51" si="46">+E41/E47</f>
        <v>2.7853624208304009</v>
      </c>
      <c r="F51" s="10">
        <f t="shared" si="46"/>
        <v>3.4204293116210209</v>
      </c>
      <c r="G51" s="10">
        <f t="shared" ref="G51:H51" si="47">+G41/G47</f>
        <v>3.2635416666666663</v>
      </c>
      <c r="H51" s="10">
        <f t="shared" si="47"/>
        <v>3.5980158730158731</v>
      </c>
      <c r="I51" s="10">
        <f t="shared" ref="I51:J51" si="48">+I41/I47</f>
        <v>3.8768094038622998</v>
      </c>
      <c r="J51" s="10">
        <f t="shared" si="48"/>
        <v>4.0676758682101513</v>
      </c>
      <c r="K51" s="10">
        <f t="shared" ref="K51:P51" si="49">+K41/K47</f>
        <v>4.0207862629914146</v>
      </c>
      <c r="L51" s="10">
        <f t="shared" si="49"/>
        <v>4.1461358313817334</v>
      </c>
      <c r="M51" s="10">
        <f t="shared" si="49"/>
        <v>3.0976676384839652</v>
      </c>
      <c r="N51" s="10">
        <f t="shared" si="49"/>
        <v>3.5594639865996647</v>
      </c>
      <c r="O51" s="10">
        <f t="shared" si="49"/>
        <v>4.0380047505938235</v>
      </c>
      <c r="P51" s="10">
        <f t="shared" si="49"/>
        <v>4.0094339622641506</v>
      </c>
    </row>
    <row r="52" spans="1:18" s="10" customFormat="1" x14ac:dyDescent="0.2">
      <c r="A52" s="10" t="s">
        <v>4</v>
      </c>
      <c r="B52" s="10">
        <f t="shared" ref="B52:C52" si="50">+(B41-B44)/B47</f>
        <v>2.0838693715982184</v>
      </c>
      <c r="C52" s="10">
        <f t="shared" si="50"/>
        <v>1.4579177057356609</v>
      </c>
      <c r="D52" s="10">
        <f t="shared" ref="D52" si="51">+(D41-D44)/D47</f>
        <v>1.518146467919637</v>
      </c>
      <c r="E52" s="10">
        <f t="shared" ref="E52:F52" si="52">+(E41-E44)/E47</f>
        <v>2.1780436312456013</v>
      </c>
      <c r="F52" s="10">
        <f t="shared" si="52"/>
        <v>2.9755736491487781</v>
      </c>
      <c r="G52" s="10">
        <f t="shared" ref="G52:H52" si="53">+(G41-G44)/G47</f>
        <v>2.3623511904761902</v>
      </c>
      <c r="H52" s="10">
        <f t="shared" si="53"/>
        <v>2.5535714285714284</v>
      </c>
      <c r="I52" s="10">
        <f t="shared" ref="I52:J52" si="54">+(I41-I44)/I47</f>
        <v>3.1056087321578505</v>
      </c>
      <c r="J52" s="10">
        <f t="shared" si="54"/>
        <v>3.3713268032056987</v>
      </c>
      <c r="K52" s="10">
        <f t="shared" ref="K52:P52" si="55">+(K41-K44)/K47</f>
        <v>3.2521464075915048</v>
      </c>
      <c r="L52" s="10">
        <f t="shared" si="55"/>
        <v>3.2327868852459019</v>
      </c>
      <c r="M52" s="10">
        <f t="shared" si="55"/>
        <v>2.6093294460641401</v>
      </c>
      <c r="N52" s="10">
        <f t="shared" si="55"/>
        <v>2.9983249581239528</v>
      </c>
      <c r="O52" s="10">
        <f t="shared" si="55"/>
        <v>3.4014251781472677</v>
      </c>
      <c r="P52" s="10">
        <f t="shared" si="55"/>
        <v>3.3773584905660377</v>
      </c>
    </row>
    <row r="53" spans="1:18" s="6" customFormat="1" x14ac:dyDescent="0.2">
      <c r="A53" s="6" t="s">
        <v>3</v>
      </c>
      <c r="B53" s="6">
        <f t="shared" ref="B53:C53" si="56">+B48/B41</f>
        <v>0.30382595648912231</v>
      </c>
      <c r="C53" s="6">
        <f t="shared" si="56"/>
        <v>0.3585749314870908</v>
      </c>
      <c r="D53" s="6">
        <f t="shared" ref="D53" si="57">+D48/D41</f>
        <v>0.30289414563235095</v>
      </c>
      <c r="E53" s="6">
        <f t="shared" ref="E53:F53" si="58">+E48/E41</f>
        <v>0.22561899949469427</v>
      </c>
      <c r="F53" s="6">
        <f t="shared" si="58"/>
        <v>0.10960830988963427</v>
      </c>
      <c r="G53" s="6">
        <f t="shared" ref="G53:H53" si="59">+G48/G41</f>
        <v>0.12299940723177238</v>
      </c>
      <c r="H53" s="6">
        <f t="shared" si="59"/>
        <v>-8.7199735303849141E-2</v>
      </c>
      <c r="I53" s="6">
        <f t="shared" ref="I53:J53" si="60">+I48/I41</f>
        <v>5.8951373969090025E-2</v>
      </c>
      <c r="J53" s="6">
        <f t="shared" si="60"/>
        <v>-1.8128283712784587E-2</v>
      </c>
      <c r="K53" s="6">
        <f t="shared" ref="K53:P53" si="61">+K48/K41</f>
        <v>2.9824679703304116E-2</v>
      </c>
      <c r="O53" s="6">
        <f t="shared" si="61"/>
        <v>0.20964705882352935</v>
      </c>
      <c r="P53" s="6">
        <f t="shared" si="61"/>
        <v>0.15552941176470586</v>
      </c>
    </row>
    <row r="54" spans="1:18" s="6" customFormat="1" x14ac:dyDescent="0.2">
      <c r="A54" s="8" t="s">
        <v>2</v>
      </c>
      <c r="B54" s="9"/>
      <c r="C54" s="9"/>
      <c r="D54" s="9"/>
      <c r="E54" s="9"/>
      <c r="F54" s="9"/>
      <c r="G54" s="9"/>
      <c r="H54" s="9"/>
      <c r="I54" s="9"/>
      <c r="J54" s="9"/>
      <c r="K54" s="9"/>
      <c r="L54" s="9"/>
      <c r="M54" s="9"/>
      <c r="N54" s="9"/>
      <c r="O54" s="9"/>
      <c r="P54" s="9"/>
      <c r="Q54" s="9"/>
      <c r="R54" s="9"/>
    </row>
    <row r="55" spans="1:18" s="6" customFormat="1" x14ac:dyDescent="0.2">
      <c r="A55" s="6" t="s">
        <v>1</v>
      </c>
      <c r="B55" s="7">
        <f t="shared" ref="B55:C55" si="62">IF(B42=0,IF(B54="","","*"&amp;TEXT(B54,"0.0x")),(B41+B42-B44)/B47)</f>
        <v>7.3881741712023734</v>
      </c>
      <c r="C55" s="7">
        <f t="shared" si="62"/>
        <v>8.1412094763092284</v>
      </c>
      <c r="D55" s="7">
        <f t="shared" ref="D55" si="63">IF(D42=0,IF(D54="","","*"&amp;TEXT(D54,"0.0x")),(D41+D42-D44)/D47)</f>
        <v>8.4656513285806856</v>
      </c>
      <c r="E55" s="7">
        <f t="shared" ref="E55:F55" si="64">IF(E42=0,IF(E54="","","*"&amp;TEXT(E54,"0.0x")),(E41+E42-E44)/E47)</f>
        <v>9.7220267417311739</v>
      </c>
      <c r="F55" s="7">
        <f t="shared" si="64"/>
        <v>10.91043671354552</v>
      </c>
      <c r="G55" s="7">
        <f t="shared" ref="G55:H55" si="65">IF(G42=0,IF(G54="","","*"&amp;TEXT(G54,"0.0x")),(G41+G42-G44)/G47)</f>
        <v>10.338541666666666</v>
      </c>
      <c r="H55" s="7">
        <f t="shared" si="65"/>
        <v>11.061507936507937</v>
      </c>
      <c r="I55" s="7">
        <f t="shared" ref="I55:J55" si="66">IF(I42=0,IF(I54="","","*"&amp;TEXT(I54,"0.0x")),(I41+I42-I44)/I47)</f>
        <v>12.106448362720402</v>
      </c>
      <c r="J55" s="7">
        <f t="shared" si="66"/>
        <v>12.917186108637576</v>
      </c>
      <c r="K55" s="7">
        <f t="shared" ref="K55:P55" si="67">IF(K42=0,IF(K54="","","*"&amp;TEXT(K54,"0.0x")),(K41+K42-K44)/K47)</f>
        <v>12.940352462720289</v>
      </c>
      <c r="L55" s="7">
        <f t="shared" si="67"/>
        <v>13.274941451990632</v>
      </c>
      <c r="M55" s="7">
        <f t="shared" si="67"/>
        <v>10.422740524781341</v>
      </c>
      <c r="N55" s="7">
        <f t="shared" si="67"/>
        <v>11.976549413735343</v>
      </c>
      <c r="O55" s="7">
        <f t="shared" si="67"/>
        <v>13.586698337292159</v>
      </c>
      <c r="P55" s="7">
        <f t="shared" si="67"/>
        <v>13.490566037735849</v>
      </c>
      <c r="Q55" s="7"/>
      <c r="R55" s="7"/>
    </row>
    <row r="57" spans="1:18" ht="80.25" customHeight="1" x14ac:dyDescent="0.2">
      <c r="A57" s="5" t="s">
        <v>0</v>
      </c>
      <c r="B57" s="4" t="s">
        <v>489</v>
      </c>
      <c r="C57" s="4" t="s">
        <v>489</v>
      </c>
      <c r="D57" s="4" t="s">
        <v>489</v>
      </c>
      <c r="E57" s="4" t="s">
        <v>489</v>
      </c>
      <c r="F57" s="4" t="s">
        <v>489</v>
      </c>
      <c r="G57" s="4" t="s">
        <v>489</v>
      </c>
      <c r="H57" s="4" t="s">
        <v>450</v>
      </c>
      <c r="I57" s="4" t="s">
        <v>424</v>
      </c>
      <c r="J57" s="4" t="s">
        <v>266</v>
      </c>
      <c r="K57" s="4" t="s">
        <v>266</v>
      </c>
      <c r="L57" s="4" t="s">
        <v>266</v>
      </c>
      <c r="M57" s="4" t="s">
        <v>265</v>
      </c>
      <c r="N57" s="4" t="s">
        <v>265</v>
      </c>
      <c r="O57" s="4" t="s">
        <v>264</v>
      </c>
      <c r="P57" s="4" t="s">
        <v>112</v>
      </c>
      <c r="Q57" s="4" t="s">
        <v>221</v>
      </c>
      <c r="R57" s="4" t="s">
        <v>221</v>
      </c>
    </row>
    <row r="58" spans="1:18" x14ac:dyDescent="0.2">
      <c r="A58" s="2"/>
      <c r="B58" s="3"/>
      <c r="C58" s="3"/>
      <c r="D58" s="3"/>
      <c r="E58" s="3"/>
      <c r="F58" s="3"/>
      <c r="G58" s="3"/>
      <c r="H58" s="3"/>
      <c r="I58" s="3"/>
      <c r="J58" s="3"/>
      <c r="K58" s="3"/>
      <c r="L58" s="3"/>
      <c r="M58" s="3"/>
      <c r="N58" s="3"/>
      <c r="O58" s="3"/>
      <c r="P58" s="3"/>
    </row>
    <row r="59" spans="1:18" x14ac:dyDescent="0.2">
      <c r="A59" s="2"/>
    </row>
  </sheetData>
  <pageMargins left="0.7" right="0.7" top="0.75" bottom="0.75" header="0.3" footer="0.3"/>
  <pageSetup orientation="portrait" r:id="rId1"/>
  <ignoredErrors>
    <ignoredError sqref="A37:F37"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5" width="10.7109375" style="1" customWidth="1"/>
    <col min="26" max="27" width="9.140625" style="1"/>
    <col min="28" max="28" width="9.42578125" style="1" bestFit="1" customWidth="1"/>
    <col min="29" max="16384" width="9.140625" style="1"/>
  </cols>
  <sheetData>
    <row r="2" spans="1:25" x14ac:dyDescent="0.2">
      <c r="A2" s="34" t="s">
        <v>45</v>
      </c>
      <c r="B2" s="1" t="s">
        <v>84</v>
      </c>
    </row>
    <row r="3" spans="1:25" s="35" customFormat="1" x14ac:dyDescent="0.2">
      <c r="A3" s="36" t="s">
        <v>43</v>
      </c>
      <c r="B3" s="35" t="s">
        <v>114</v>
      </c>
    </row>
    <row r="4" spans="1:25" x14ac:dyDescent="0.2">
      <c r="A4" s="34" t="s">
        <v>41</v>
      </c>
      <c r="B4" s="1" t="s">
        <v>40</v>
      </c>
    </row>
    <row r="5" spans="1:25" x14ac:dyDescent="0.2">
      <c r="A5" s="34" t="s">
        <v>39</v>
      </c>
    </row>
    <row r="6" spans="1:25" x14ac:dyDescent="0.2">
      <c r="A6" s="34" t="s">
        <v>38</v>
      </c>
      <c r="B6" s="1">
        <v>2</v>
      </c>
    </row>
    <row r="7" spans="1:25" x14ac:dyDescent="0.2">
      <c r="A7" s="34" t="s">
        <v>37</v>
      </c>
      <c r="B7" s="1" t="s">
        <v>383</v>
      </c>
    </row>
    <row r="8" spans="1:25" x14ac:dyDescent="0.2">
      <c r="A8" s="34" t="s">
        <v>281</v>
      </c>
      <c r="B8" s="1" t="s">
        <v>312</v>
      </c>
    </row>
    <row r="9" spans="1:25" x14ac:dyDescent="0.2">
      <c r="A9" s="22"/>
    </row>
    <row r="10" spans="1:25"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c r="U10" s="33">
        <v>42643</v>
      </c>
      <c r="V10" s="33">
        <v>42551</v>
      </c>
      <c r="W10" s="33">
        <v>42460</v>
      </c>
      <c r="X10" s="33">
        <v>42369</v>
      </c>
      <c r="Y10" s="33">
        <v>42277</v>
      </c>
    </row>
    <row r="12" spans="1:25" x14ac:dyDescent="0.2">
      <c r="A12" s="15" t="s">
        <v>35</v>
      </c>
      <c r="B12" s="19">
        <v>291.48500000000001</v>
      </c>
      <c r="C12" s="19">
        <v>265.42099999999999</v>
      </c>
      <c r="D12" s="19">
        <f>1016.609-E12-F12-G12</f>
        <v>256.04300000000001</v>
      </c>
      <c r="E12" s="19">
        <v>260.85500000000002</v>
      </c>
      <c r="F12" s="19">
        <v>256.226</v>
      </c>
      <c r="G12" s="19">
        <v>243.48500000000001</v>
      </c>
      <c r="H12" s="19">
        <f>907.675-I12-J12-K12</f>
        <v>216.66599999999994</v>
      </c>
      <c r="I12" s="19">
        <v>227.21100000000001</v>
      </c>
      <c r="J12" s="19">
        <v>241.06</v>
      </c>
      <c r="K12" s="19">
        <v>222.738</v>
      </c>
      <c r="L12" s="19">
        <f>850.389-M12-N12-O12</f>
        <v>214.81500000000005</v>
      </c>
      <c r="M12" s="19">
        <v>210.982</v>
      </c>
      <c r="N12" s="19">
        <v>215.84899999999999</v>
      </c>
      <c r="O12" s="19">
        <v>208.74299999999999</v>
      </c>
      <c r="P12" s="19">
        <f>776.188-S12-R12-Q12</f>
        <v>196.22199999999998</v>
      </c>
      <c r="Q12" s="19">
        <v>192.25</v>
      </c>
      <c r="R12" s="19">
        <v>203.178</v>
      </c>
      <c r="S12" s="19">
        <v>184.53800000000001</v>
      </c>
      <c r="T12" s="19">
        <f>727.586-W12-V12-U12</f>
        <v>178.82900000000006</v>
      </c>
      <c r="U12" s="19">
        <v>196.197</v>
      </c>
      <c r="V12" s="19">
        <v>192.34299999999999</v>
      </c>
      <c r="W12" s="19">
        <v>160.21700000000001</v>
      </c>
      <c r="X12" s="19">
        <v>147.02700000000004</v>
      </c>
      <c r="Y12" s="19">
        <v>158.21199999999999</v>
      </c>
    </row>
    <row r="13" spans="1:25" s="28" customFormat="1" x14ac:dyDescent="0.2">
      <c r="A13" s="28" t="s">
        <v>34</v>
      </c>
      <c r="B13" s="28">
        <f t="shared" ref="B13:U13" si="0">+B12/F12-1</f>
        <v>0.13760898581720826</v>
      </c>
      <c r="C13" s="28">
        <f t="shared" si="0"/>
        <v>9.0091792102182877E-2</v>
      </c>
      <c r="D13" s="28">
        <f t="shared" si="0"/>
        <v>0.18174055920172094</v>
      </c>
      <c r="E13" s="28">
        <f t="shared" si="0"/>
        <v>0.14807381684865617</v>
      </c>
      <c r="F13" s="28">
        <f t="shared" si="0"/>
        <v>6.2913797394839488E-2</v>
      </c>
      <c r="G13" s="28">
        <f t="shared" si="0"/>
        <v>9.3145309736102577E-2</v>
      </c>
      <c r="H13" s="28">
        <f t="shared" si="0"/>
        <v>8.616716709726413E-3</v>
      </c>
      <c r="I13" s="28">
        <f t="shared" si="0"/>
        <v>7.6921253945834378E-2</v>
      </c>
      <c r="J13" s="28">
        <f t="shared" si="0"/>
        <v>0.11679924391588581</v>
      </c>
      <c r="K13" s="28">
        <f t="shared" si="0"/>
        <v>6.7044164355211988E-2</v>
      </c>
      <c r="L13" s="28">
        <f t="shared" si="0"/>
        <v>9.4754920447248869E-2</v>
      </c>
      <c r="M13" s="28">
        <f t="shared" si="0"/>
        <v>9.7435630689206798E-2</v>
      </c>
      <c r="N13" s="28">
        <f t="shared" si="0"/>
        <v>6.2364035476281776E-2</v>
      </c>
      <c r="O13" s="28">
        <f t="shared" si="0"/>
        <v>0.13116539682883732</v>
      </c>
      <c r="P13" s="28">
        <f t="shared" si="0"/>
        <v>9.7260511438300945E-2</v>
      </c>
      <c r="Q13" s="28">
        <f t="shared" si="0"/>
        <v>-2.0117534926629932E-2</v>
      </c>
      <c r="R13" s="28">
        <f t="shared" si="0"/>
        <v>5.6331657507681543E-2</v>
      </c>
      <c r="S13" s="28">
        <f t="shared" si="0"/>
        <v>0.15180037074717423</v>
      </c>
      <c r="T13" s="28">
        <f t="shared" si="0"/>
        <v>0.21630040740816314</v>
      </c>
      <c r="U13" s="28">
        <f t="shared" si="0"/>
        <v>0.24008924733901349</v>
      </c>
    </row>
    <row r="14" spans="1:25"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row>
    <row r="16" spans="1:25" s="22" customFormat="1" x14ac:dyDescent="0.2">
      <c r="A16" s="30" t="s">
        <v>31</v>
      </c>
      <c r="B16" s="29">
        <v>67.298000000000016</v>
      </c>
      <c r="C16" s="29">
        <v>62.5</v>
      </c>
      <c r="D16" s="29">
        <v>63.728999999999999</v>
      </c>
      <c r="E16" s="29">
        <v>60.225999999999999</v>
      </c>
      <c r="F16" s="29">
        <v>65.113</v>
      </c>
      <c r="G16" s="29">
        <v>50.991999999999997</v>
      </c>
      <c r="H16" s="29">
        <f>52.37</f>
        <v>52.37</v>
      </c>
      <c r="I16" s="29">
        <v>47.771999999999998</v>
      </c>
      <c r="J16" s="29">
        <v>55.088000000000001</v>
      </c>
      <c r="K16" s="29">
        <v>49.427</v>
      </c>
      <c r="L16" s="29">
        <v>51.41</v>
      </c>
      <c r="M16" s="29">
        <v>40.134</v>
      </c>
      <c r="N16" s="29">
        <v>47.597000000000001</v>
      </c>
      <c r="O16" s="29">
        <v>47.033000000000001</v>
      </c>
      <c r="P16" s="29">
        <v>57.823999999999998</v>
      </c>
      <c r="Q16" s="29">
        <v>54.66</v>
      </c>
      <c r="R16" s="29">
        <f>28.207+11.311+10.035+9.588+3.839</f>
        <v>62.98</v>
      </c>
      <c r="S16" s="29">
        <f>24.199+9.98+9.83+9.266+0.521</f>
        <v>53.795999999999999</v>
      </c>
      <c r="T16" s="29">
        <f>T22</f>
        <v>53.919999999999987</v>
      </c>
      <c r="U16" s="29">
        <v>59.194999999999993</v>
      </c>
      <c r="V16" s="29">
        <v>54.352000000000011</v>
      </c>
      <c r="W16" s="29">
        <v>47.836000000000006</v>
      </c>
      <c r="X16" s="29">
        <v>40.629999999999932</v>
      </c>
      <c r="Y16" s="29">
        <v>38.054999999999993</v>
      </c>
    </row>
    <row r="17" spans="1:25" s="28" customFormat="1" x14ac:dyDescent="0.2">
      <c r="A17" s="28" t="s">
        <v>30</v>
      </c>
      <c r="B17" s="28">
        <f t="shared" ref="B17" si="1">+B16/B12</f>
        <v>0.23087980513577033</v>
      </c>
      <c r="C17" s="28">
        <f t="shared" ref="C17:D17" si="2">+C16/C12</f>
        <v>0.23547496241819602</v>
      </c>
      <c r="D17" s="28">
        <f t="shared" si="2"/>
        <v>0.24889959889549801</v>
      </c>
      <c r="E17" s="28">
        <f t="shared" ref="E17:F17" si="3">+E16/E12</f>
        <v>0.23087922409001169</v>
      </c>
      <c r="F17" s="28">
        <f t="shared" si="3"/>
        <v>0.25412331301273094</v>
      </c>
      <c r="G17" s="28">
        <f t="shared" ref="G17:H17" si="4">+G16/G12</f>
        <v>0.20942563196911512</v>
      </c>
      <c r="H17" s="28">
        <f t="shared" si="4"/>
        <v>0.24170843602595707</v>
      </c>
      <c r="I17" s="28">
        <f t="shared" ref="I17:J17" si="5">+I16/I12</f>
        <v>0.21025390496058727</v>
      </c>
      <c r="J17" s="28">
        <f t="shared" si="5"/>
        <v>0.22852401891645233</v>
      </c>
      <c r="K17" s="28">
        <f t="shared" ref="K17:L17" si="6">+K16/K12</f>
        <v>0.22190645511767187</v>
      </c>
      <c r="L17" s="28">
        <f t="shared" si="6"/>
        <v>0.23932220748085553</v>
      </c>
      <c r="M17" s="28">
        <f t="shared" ref="M17:Y17" si="7">+M16/M12</f>
        <v>0.19022475851020468</v>
      </c>
      <c r="N17" s="28">
        <f t="shared" si="7"/>
        <v>0.22051063474929233</v>
      </c>
      <c r="O17" s="28">
        <f t="shared" si="7"/>
        <v>0.22531533991559</v>
      </c>
      <c r="P17" s="28">
        <f t="shared" si="7"/>
        <v>0.29468663044918514</v>
      </c>
      <c r="Q17" s="28">
        <f t="shared" si="7"/>
        <v>0.28431729518855653</v>
      </c>
      <c r="R17" s="28">
        <f t="shared" si="7"/>
        <v>0.30997450511374264</v>
      </c>
      <c r="S17" s="28">
        <f t="shared" si="7"/>
        <v>0.2915171942906068</v>
      </c>
      <c r="T17" s="28">
        <f t="shared" si="7"/>
        <v>0.30151709174686414</v>
      </c>
      <c r="U17" s="28">
        <f t="shared" si="7"/>
        <v>0.30171205472051049</v>
      </c>
      <c r="V17" s="28">
        <f t="shared" si="7"/>
        <v>0.28257851858398803</v>
      </c>
      <c r="W17" s="28">
        <f t="shared" si="7"/>
        <v>0.29857006435022504</v>
      </c>
      <c r="X17" s="28">
        <f t="shared" si="7"/>
        <v>0.27634380079849225</v>
      </c>
      <c r="Y17" s="28">
        <f t="shared" si="7"/>
        <v>0.24053169165423605</v>
      </c>
    </row>
    <row r="18" spans="1:25" s="23" customFormat="1" x14ac:dyDescent="0.2"/>
    <row r="19" spans="1:2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2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row>
    <row r="21" spans="1:2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0.23899999999999999</v>
      </c>
      <c r="S21" s="19">
        <v>0.71399999999999997</v>
      </c>
      <c r="T21" s="19">
        <v>0</v>
      </c>
      <c r="U21" s="19">
        <v>0</v>
      </c>
      <c r="V21" s="19">
        <v>0</v>
      </c>
      <c r="W21" s="19">
        <v>0</v>
      </c>
      <c r="X21" s="19">
        <v>0</v>
      </c>
      <c r="Y21" s="19">
        <v>0</v>
      </c>
    </row>
    <row r="22" spans="1:25" s="22" customFormat="1" x14ac:dyDescent="0.2">
      <c r="A22" s="22" t="s">
        <v>23</v>
      </c>
      <c r="B22" s="20">
        <f t="shared" ref="B22" si="8">SUM(B16,B19:B21)</f>
        <v>67.298000000000016</v>
      </c>
      <c r="C22" s="20">
        <f t="shared" ref="C22:D22" si="9">SUM(C16,C19:C21)</f>
        <v>62.5</v>
      </c>
      <c r="D22" s="20">
        <f t="shared" si="9"/>
        <v>63.728999999999999</v>
      </c>
      <c r="E22" s="20">
        <f t="shared" ref="E22:F22" si="10">SUM(E16,E19:E21)</f>
        <v>60.225999999999999</v>
      </c>
      <c r="F22" s="20">
        <f t="shared" si="10"/>
        <v>65.113</v>
      </c>
      <c r="G22" s="20">
        <f t="shared" ref="G22:H22" si="11">SUM(G16,G19:G21)</f>
        <v>50.991999999999997</v>
      </c>
      <c r="H22" s="20">
        <f t="shared" si="11"/>
        <v>52.37</v>
      </c>
      <c r="I22" s="20">
        <f t="shared" ref="I22:J22" si="12">SUM(I16,I19:I21)</f>
        <v>47.771999999999998</v>
      </c>
      <c r="J22" s="20">
        <f t="shared" si="12"/>
        <v>55.088000000000001</v>
      </c>
      <c r="K22" s="20">
        <f t="shared" ref="K22:L22" si="13">SUM(K16,K19:K21)</f>
        <v>49.427</v>
      </c>
      <c r="L22" s="20">
        <f t="shared" si="13"/>
        <v>51.41</v>
      </c>
      <c r="M22" s="20">
        <f t="shared" ref="M22:S22" si="14">SUM(M16,M19:M21)</f>
        <v>40.134</v>
      </c>
      <c r="N22" s="20">
        <f t="shared" si="14"/>
        <v>47.597000000000001</v>
      </c>
      <c r="O22" s="20">
        <f t="shared" si="14"/>
        <v>47.033000000000001</v>
      </c>
      <c r="P22" s="20">
        <f t="shared" si="14"/>
        <v>57.823999999999998</v>
      </c>
      <c r="Q22" s="20">
        <f t="shared" si="14"/>
        <v>54.66</v>
      </c>
      <c r="R22" s="20">
        <f t="shared" si="14"/>
        <v>63.218999999999994</v>
      </c>
      <c r="S22" s="20">
        <f t="shared" si="14"/>
        <v>54.51</v>
      </c>
      <c r="T22" s="20">
        <f>215.303-W22-V22-U22</f>
        <v>53.919999999999987</v>
      </c>
      <c r="U22" s="20">
        <f>SUM(U16,U19:U21)</f>
        <v>59.194999999999993</v>
      </c>
      <c r="V22" s="20">
        <f>SUM(V16,V19:V21)</f>
        <v>54.352000000000011</v>
      </c>
      <c r="W22" s="20">
        <f>SUM(W16,W19:W21)</f>
        <v>47.836000000000006</v>
      </c>
      <c r="X22" s="20">
        <f>SUM(X16,X19:X21)</f>
        <v>40.629999999999932</v>
      </c>
      <c r="Y22" s="20">
        <f>SUM(Y16,Y19:Y21)</f>
        <v>38.054999999999993</v>
      </c>
    </row>
    <row r="23" spans="1:25" s="22" customFormat="1" x14ac:dyDescent="0.2">
      <c r="B23" s="28"/>
      <c r="C23" s="28"/>
      <c r="D23" s="28"/>
      <c r="E23" s="28"/>
      <c r="F23" s="28"/>
      <c r="G23" s="28"/>
      <c r="H23" s="28"/>
      <c r="I23" s="28"/>
      <c r="J23" s="28"/>
      <c r="K23" s="28"/>
      <c r="L23" s="20"/>
      <c r="M23" s="20"/>
      <c r="N23" s="20"/>
      <c r="O23" s="20"/>
      <c r="P23" s="20"/>
      <c r="Q23" s="20"/>
      <c r="R23" s="20"/>
      <c r="S23" s="20"/>
      <c r="T23" s="20"/>
      <c r="U23" s="20"/>
      <c r="V23" s="20"/>
      <c r="W23" s="20"/>
      <c r="X23" s="20"/>
      <c r="Y23" s="20"/>
    </row>
    <row r="24" spans="1:25" s="22" customFormat="1" x14ac:dyDescent="0.2">
      <c r="A24" s="22" t="s">
        <v>27</v>
      </c>
      <c r="B24" s="20">
        <f t="shared" ref="B24:V24" si="15">SUM(B22:E22)</f>
        <v>253.75299999999999</v>
      </c>
      <c r="C24" s="20">
        <f t="shared" si="15"/>
        <v>251.56799999999998</v>
      </c>
      <c r="D24" s="20">
        <f t="shared" si="15"/>
        <v>240.05999999999997</v>
      </c>
      <c r="E24" s="20">
        <f t="shared" si="15"/>
        <v>228.70099999999999</v>
      </c>
      <c r="F24" s="20">
        <f t="shared" si="15"/>
        <v>216.24699999999999</v>
      </c>
      <c r="G24" s="20">
        <f t="shared" si="15"/>
        <v>206.22199999999998</v>
      </c>
      <c r="H24" s="20">
        <f t="shared" si="15"/>
        <v>204.65699999999998</v>
      </c>
      <c r="I24" s="20">
        <f t="shared" si="15"/>
        <v>203.697</v>
      </c>
      <c r="J24" s="20">
        <f t="shared" si="15"/>
        <v>196.05900000000003</v>
      </c>
      <c r="K24" s="20">
        <f t="shared" si="15"/>
        <v>188.56800000000001</v>
      </c>
      <c r="L24" s="20">
        <f t="shared" si="15"/>
        <v>186.17399999999998</v>
      </c>
      <c r="M24" s="20">
        <f t="shared" si="15"/>
        <v>192.58800000000002</v>
      </c>
      <c r="N24" s="20">
        <f t="shared" si="15"/>
        <v>207.114</v>
      </c>
      <c r="O24" s="20">
        <f t="shared" si="15"/>
        <v>222.73599999999999</v>
      </c>
      <c r="P24" s="20">
        <f t="shared" si="15"/>
        <v>230.21299999999997</v>
      </c>
      <c r="Q24" s="20">
        <f t="shared" si="15"/>
        <v>226.30899999999997</v>
      </c>
      <c r="R24" s="20">
        <f t="shared" si="15"/>
        <v>230.84399999999997</v>
      </c>
      <c r="S24" s="20">
        <f t="shared" si="15"/>
        <v>221.97699999999998</v>
      </c>
      <c r="T24" s="20">
        <f t="shared" si="15"/>
        <v>215.303</v>
      </c>
      <c r="U24" s="20">
        <f t="shared" si="15"/>
        <v>202.01299999999995</v>
      </c>
      <c r="V24" s="20">
        <f t="shared" si="15"/>
        <v>180.87299999999993</v>
      </c>
      <c r="W24" s="20"/>
      <c r="X24" s="20"/>
      <c r="Y24" s="20"/>
    </row>
    <row r="25" spans="1:25"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v>0</v>
      </c>
      <c r="U25" s="27">
        <v>0</v>
      </c>
      <c r="V25" s="27">
        <v>0</v>
      </c>
      <c r="W25" s="27"/>
      <c r="X25" s="27"/>
      <c r="Y25" s="27"/>
    </row>
    <row r="26" spans="1:25"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6"/>
      <c r="X26" s="26"/>
      <c r="Y26" s="26"/>
    </row>
    <row r="27" spans="1:25" s="24" customFormat="1" x14ac:dyDescent="0.2">
      <c r="A27" s="22" t="s">
        <v>24</v>
      </c>
      <c r="B27" s="20">
        <f t="shared" ref="B27" si="16">SUM(B24:B26)</f>
        <v>253.75299999999999</v>
      </c>
      <c r="C27" s="20">
        <f t="shared" ref="C27:D27" si="17">SUM(C24:C26)</f>
        <v>251.56799999999998</v>
      </c>
      <c r="D27" s="20">
        <f t="shared" si="17"/>
        <v>240.05999999999997</v>
      </c>
      <c r="E27" s="20">
        <f t="shared" ref="E27:F27" si="18">SUM(E24:E26)</f>
        <v>228.70099999999999</v>
      </c>
      <c r="F27" s="20">
        <f t="shared" si="18"/>
        <v>216.24699999999999</v>
      </c>
      <c r="G27" s="20">
        <f t="shared" ref="G27:H27" si="19">SUM(G24:G26)</f>
        <v>206.22199999999998</v>
      </c>
      <c r="H27" s="20">
        <f t="shared" si="19"/>
        <v>204.65699999999998</v>
      </c>
      <c r="I27" s="20">
        <f t="shared" ref="I27:J27" si="20">SUM(I24:I26)</f>
        <v>203.697</v>
      </c>
      <c r="J27" s="20">
        <f t="shared" si="20"/>
        <v>196.05900000000003</v>
      </c>
      <c r="K27" s="20">
        <f t="shared" ref="K27:L27" si="21">SUM(K24:K26)</f>
        <v>188.56800000000001</v>
      </c>
      <c r="L27" s="20">
        <f t="shared" si="21"/>
        <v>186.17399999999998</v>
      </c>
      <c r="M27" s="20">
        <f t="shared" ref="M27:V27" si="22">SUM(M24:M26)</f>
        <v>192.58800000000002</v>
      </c>
      <c r="N27" s="20">
        <f t="shared" si="22"/>
        <v>207.114</v>
      </c>
      <c r="O27" s="20">
        <f t="shared" si="22"/>
        <v>222.73599999999999</v>
      </c>
      <c r="P27" s="20">
        <f t="shared" si="22"/>
        <v>230.21299999999997</v>
      </c>
      <c r="Q27" s="20">
        <f t="shared" si="22"/>
        <v>226.30899999999997</v>
      </c>
      <c r="R27" s="20">
        <f t="shared" si="22"/>
        <v>230.84399999999997</v>
      </c>
      <c r="S27" s="20">
        <f t="shared" si="22"/>
        <v>221.97699999999998</v>
      </c>
      <c r="T27" s="20">
        <f t="shared" si="22"/>
        <v>215.303</v>
      </c>
      <c r="U27" s="20">
        <f t="shared" si="22"/>
        <v>202.01299999999995</v>
      </c>
      <c r="V27" s="20">
        <f t="shared" si="22"/>
        <v>180.87299999999993</v>
      </c>
      <c r="W27" s="25"/>
      <c r="X27" s="25"/>
      <c r="Y27" s="25"/>
    </row>
    <row r="28" spans="1:25" s="23" customFormat="1" x14ac:dyDescent="0.2"/>
    <row r="29" spans="1:25" s="22" customFormat="1" x14ac:dyDescent="0.2">
      <c r="A29" s="22" t="s">
        <v>23</v>
      </c>
      <c r="B29" s="20">
        <f t="shared" ref="B29" si="23">B22</f>
        <v>67.298000000000016</v>
      </c>
      <c r="C29" s="20">
        <f t="shared" ref="C29:D29" si="24">C22</f>
        <v>62.5</v>
      </c>
      <c r="D29" s="20">
        <f t="shared" si="24"/>
        <v>63.728999999999999</v>
      </c>
      <c r="E29" s="20">
        <f t="shared" ref="E29:F29" si="25">E22</f>
        <v>60.225999999999999</v>
      </c>
      <c r="F29" s="20">
        <f t="shared" si="25"/>
        <v>65.113</v>
      </c>
      <c r="G29" s="20">
        <f t="shared" ref="G29:H29" si="26">G22</f>
        <v>50.991999999999997</v>
      </c>
      <c r="H29" s="20">
        <f t="shared" si="26"/>
        <v>52.37</v>
      </c>
      <c r="I29" s="20">
        <f t="shared" ref="I29:J29" si="27">I22</f>
        <v>47.771999999999998</v>
      </c>
      <c r="J29" s="20">
        <f t="shared" si="27"/>
        <v>55.088000000000001</v>
      </c>
      <c r="K29" s="20">
        <f t="shared" ref="K29:L29" si="28">K22</f>
        <v>49.427</v>
      </c>
      <c r="L29" s="20">
        <f t="shared" si="28"/>
        <v>51.41</v>
      </c>
      <c r="M29" s="20">
        <f t="shared" ref="M29:Y29" si="29">M22</f>
        <v>40.134</v>
      </c>
      <c r="N29" s="20">
        <f t="shared" si="29"/>
        <v>47.597000000000001</v>
      </c>
      <c r="O29" s="20">
        <f t="shared" si="29"/>
        <v>47.033000000000001</v>
      </c>
      <c r="P29" s="20">
        <f t="shared" si="29"/>
        <v>57.823999999999998</v>
      </c>
      <c r="Q29" s="20">
        <f t="shared" si="29"/>
        <v>54.66</v>
      </c>
      <c r="R29" s="20">
        <f t="shared" si="29"/>
        <v>63.218999999999994</v>
      </c>
      <c r="S29" s="20">
        <f t="shared" si="29"/>
        <v>54.51</v>
      </c>
      <c r="T29" s="20">
        <f t="shared" si="29"/>
        <v>53.919999999999987</v>
      </c>
      <c r="U29" s="20">
        <f t="shared" si="29"/>
        <v>59.194999999999993</v>
      </c>
      <c r="V29" s="20">
        <f t="shared" si="29"/>
        <v>54.352000000000011</v>
      </c>
      <c r="W29" s="20">
        <f t="shared" si="29"/>
        <v>47.836000000000006</v>
      </c>
      <c r="X29" s="20">
        <f t="shared" si="29"/>
        <v>40.629999999999932</v>
      </c>
      <c r="Y29" s="20">
        <f t="shared" si="29"/>
        <v>38.054999999999993</v>
      </c>
    </row>
    <row r="30" spans="1:25" s="11" customFormat="1" x14ac:dyDescent="0.2">
      <c r="A30" s="19" t="s">
        <v>22</v>
      </c>
      <c r="B30" s="19">
        <v>-9.6440000000000001</v>
      </c>
      <c r="C30" s="19">
        <v>-9.8070000000000004</v>
      </c>
      <c r="D30" s="19">
        <f>-41.776-E30-F30-G30</f>
        <v>-9.8930000000000042</v>
      </c>
      <c r="E30" s="19">
        <f>-31.883-F30-G30</f>
        <v>-9.9979999999999976</v>
      </c>
      <c r="F30" s="19">
        <f>-21.885-G30</f>
        <v>-11.127000000000002</v>
      </c>
      <c r="G30" s="19">
        <v>-10.757999999999999</v>
      </c>
      <c r="H30" s="19">
        <f>-43.986-I30-J30-K30</f>
        <v>-10.384</v>
      </c>
      <c r="I30" s="19">
        <f>-33.602-J30-K30</f>
        <v>-11.129999999999995</v>
      </c>
      <c r="J30" s="19">
        <f>-22.472-K30</f>
        <v>-11.385000000000002</v>
      </c>
      <c r="K30" s="19">
        <v>-11.087</v>
      </c>
      <c r="L30" s="19">
        <f>-37.617-M30-N30-O30</f>
        <v>-6.644999999999996</v>
      </c>
      <c r="M30" s="19">
        <f>-30.972-N30-O30</f>
        <v>-10.614000000000001</v>
      </c>
      <c r="N30" s="19">
        <f>-20.358-O30</f>
        <v>-10.416</v>
      </c>
      <c r="O30" s="19">
        <v>-9.9420000000000002</v>
      </c>
      <c r="P30" s="19">
        <f>-45.431-S30-R30-Q30</f>
        <v>-10.345999999999997</v>
      </c>
      <c r="Q30" s="19">
        <f>-35.085-S30-R30</f>
        <v>-10.127000000000002</v>
      </c>
      <c r="R30" s="19">
        <f>-24.958-S30</f>
        <v>-10.198999999999998</v>
      </c>
      <c r="S30" s="19">
        <v>-14.759</v>
      </c>
      <c r="T30" s="19">
        <f>-68.606-W30-V30-U30</f>
        <v>-16.709999999999983</v>
      </c>
      <c r="U30" s="19">
        <v>-18.004000000000001</v>
      </c>
      <c r="V30" s="19">
        <f>-33.892-W30</f>
        <v>-16.933000000000003</v>
      </c>
      <c r="W30" s="19">
        <v>-16.959</v>
      </c>
      <c r="X30" s="19">
        <v>-18.205000000000002</v>
      </c>
      <c r="Y30" s="19">
        <v>-14.135999999999999</v>
      </c>
    </row>
    <row r="31" spans="1:25" s="11" customFormat="1" x14ac:dyDescent="0.2">
      <c r="A31" s="19" t="s">
        <v>21</v>
      </c>
      <c r="B31" s="19">
        <v>-6.6850000000000005</v>
      </c>
      <c r="C31" s="19">
        <v>8.1910000000000007</v>
      </c>
      <c r="D31" s="19">
        <f>-5.825-E31-F31-G31</f>
        <v>-0.4220000000000006</v>
      </c>
      <c r="E31" s="19">
        <f>-5.403-F31-G31</f>
        <v>-5.9799999999999995</v>
      </c>
      <c r="F31" s="19">
        <f>0.577-G31</f>
        <v>-9.000000000000008E-3</v>
      </c>
      <c r="G31" s="19">
        <v>0.58599999999999997</v>
      </c>
      <c r="H31" s="19">
        <f>-1.84-I31-J31-K31</f>
        <v>0.57599999999999985</v>
      </c>
      <c r="I31" s="19">
        <f>-2.416-J31-K31</f>
        <v>-0.60099999999999998</v>
      </c>
      <c r="J31" s="19">
        <f>-1.815-K31</f>
        <v>-1.825</v>
      </c>
      <c r="K31" s="19">
        <v>0.01</v>
      </c>
      <c r="L31" s="19">
        <f>-3.422-M31-N31-O31</f>
        <v>0.66999999999999937</v>
      </c>
      <c r="M31" s="19">
        <f>-4.092-N31-O31</f>
        <v>-0.13299999999999967</v>
      </c>
      <c r="N31" s="19">
        <f>-3.959-O31</f>
        <v>-3.452</v>
      </c>
      <c r="O31" s="19">
        <v>-0.50700000000000001</v>
      </c>
      <c r="P31" s="19">
        <f>-16.617-S31-R31-Q31</f>
        <v>-3.7150000000000016</v>
      </c>
      <c r="Q31" s="19">
        <f>-12.902-S31-R31</f>
        <v>-2.9719999999999995</v>
      </c>
      <c r="R31" s="19">
        <f>-9.93-S31</f>
        <v>-9.93</v>
      </c>
      <c r="S31" s="19">
        <v>0</v>
      </c>
      <c r="T31" s="19">
        <f>-0.043-W31-V31-U31</f>
        <v>-4.2999999999999997E-2</v>
      </c>
      <c r="U31" s="19">
        <v>0</v>
      </c>
      <c r="V31" s="19">
        <v>0</v>
      </c>
      <c r="W31" s="19">
        <v>0</v>
      </c>
      <c r="X31" s="19">
        <v>0</v>
      </c>
      <c r="Y31" s="19">
        <v>0</v>
      </c>
    </row>
    <row r="32" spans="1:25" s="11" customFormat="1" x14ac:dyDescent="0.2">
      <c r="A32" s="19" t="s">
        <v>20</v>
      </c>
      <c r="B32" s="19">
        <v>2.0220000000000002</v>
      </c>
      <c r="C32" s="19">
        <v>-16.625999999999998</v>
      </c>
      <c r="D32" s="19">
        <f>4.434+5.824-5.301+1.9-4.397-E32-F32-G32</f>
        <v>-1.737000000000001</v>
      </c>
      <c r="E32" s="19">
        <f>-7.106+7.462-4.334+2.186+5.989-F32-G32</f>
        <v>0.90799999999999859</v>
      </c>
      <c r="F32" s="19">
        <f>-11.32+4.135-1.091+3.323+8.242-G32</f>
        <v>8.2770000000000028</v>
      </c>
      <c r="G32" s="19">
        <f>-17.463+5.18+3.27+0.864+3.161</f>
        <v>-4.9880000000000013</v>
      </c>
      <c r="H32" s="19">
        <f>-2.57-12.477+0.265+14.072+4.202-I32-J32-K32</f>
        <v>2.8869999999999969</v>
      </c>
      <c r="I32" s="19">
        <f>-13.536-3.451-3.793+18.305+3.08-J32-K32</f>
        <v>2.1640000000000015</v>
      </c>
      <c r="J32" s="19">
        <f>-22.508-4.313-1.661+18.168+8.755-K32</f>
        <v>4.9560000000000004</v>
      </c>
      <c r="K32" s="19">
        <f>-23.552-4.578+2.917+16.594+2.104</f>
        <v>-6.5149999999999997</v>
      </c>
      <c r="L32" s="19">
        <f>-3.667+3.569-0.51+14.418+1.499-M32-N32-O32</f>
        <v>0.53199999999999781</v>
      </c>
      <c r="M32" s="19">
        <f>-5.451+4.67-2.407+20.759-2.794-N32-O32</f>
        <v>2.6319999999999992</v>
      </c>
      <c r="N32" s="19">
        <f>-8.458+3.558-1.643+17.187+1.501-O32</f>
        <v>8.3990000000000009</v>
      </c>
      <c r="O32" s="19">
        <f>-11.437+2.006+2.055+11.56-0.438</f>
        <v>3.7460000000000009</v>
      </c>
      <c r="P32" s="19">
        <f>-11.775-3.901-3.039+4.839+3.82-S32-R32-Q32</f>
        <v>0.93000000000000149</v>
      </c>
      <c r="Q32" s="19">
        <f>-11.496-3.368-1.95+7.369-1.541-S32-R32</f>
        <v>8.4809999999999981</v>
      </c>
      <c r="R32" s="19">
        <f>-10.883-3.353-0.14-6.418+1.327-S32</f>
        <v>-6.5419999999999998</v>
      </c>
      <c r="S32" s="19">
        <f>-6.823-1.645-0.019-4.152-0.278-0.008</f>
        <v>-12.924999999999999</v>
      </c>
      <c r="T32" s="19">
        <f>3.705+8.895-1.694-11.296-7.815+2.225-0.344-19.869-2.994-1.049+33.886+4.828+0.198-W32-V32-U32</f>
        <v>18.151000000000003</v>
      </c>
      <c r="U32" s="19">
        <v>-1.033000000000003</v>
      </c>
      <c r="V32" s="19">
        <f>-14.747-2.784-2.315+16.112-5.089+0.381-W32</f>
        <v>2.0099999999999962</v>
      </c>
      <c r="W32" s="19">
        <f>-12.69-1.347-0.638+4.79-0.492-0.075</f>
        <v>-10.451999999999998</v>
      </c>
      <c r="X32" s="19">
        <v>-3.95</v>
      </c>
      <c r="Y32" s="19">
        <v>37.978000000000002</v>
      </c>
    </row>
    <row r="33" spans="1:25"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row>
    <row r="34" spans="1:25"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row>
    <row r="35" spans="1:25" s="20" customFormat="1" x14ac:dyDescent="0.2">
      <c r="A35" s="20" t="s">
        <v>17</v>
      </c>
      <c r="B35" s="20">
        <v>54.448</v>
      </c>
      <c r="C35" s="20">
        <v>32.853000000000002</v>
      </c>
      <c r="D35" s="20">
        <f>159.243-E35-F35-G35</f>
        <v>51.251999999999995</v>
      </c>
      <c r="E35" s="20">
        <f>107.991-F35-G35</f>
        <v>47.31</v>
      </c>
      <c r="F35" s="20">
        <f>60.681-G35</f>
        <v>47.539000000000001</v>
      </c>
      <c r="G35" s="20">
        <v>13.141999999999999</v>
      </c>
      <c r="H35" s="20">
        <f>143.974-I35-J35-K35</f>
        <v>36.621999999999986</v>
      </c>
      <c r="I35" s="20">
        <f>107.352-J35-K35</f>
        <v>33.288000000000011</v>
      </c>
      <c r="J35" s="20">
        <f>74.064-K35</f>
        <v>45.678999999999988</v>
      </c>
      <c r="K35" s="20">
        <v>28.385000000000002</v>
      </c>
      <c r="L35" s="20">
        <f>143.655-M35-N35-O35</f>
        <v>33.784000000000006</v>
      </c>
      <c r="M35" s="20">
        <f>109.871-N35-O35</f>
        <v>28.688999999999993</v>
      </c>
      <c r="N35" s="20">
        <f>81.182-O35</f>
        <v>42.86</v>
      </c>
      <c r="O35" s="20">
        <v>38.322000000000003</v>
      </c>
      <c r="P35" s="20">
        <f>163.685-S35-R35-Q35</f>
        <v>45.912000000000006</v>
      </c>
      <c r="Q35" s="20">
        <f>117.773-S35-R35</f>
        <v>49.994</v>
      </c>
      <c r="R35" s="20">
        <f>67.779-S35</f>
        <v>41.510999999999996</v>
      </c>
      <c r="S35" s="20">
        <v>26.268000000000001</v>
      </c>
      <c r="T35" s="20">
        <f>102.221+13.611-W35-V35-U35</f>
        <v>24.786000000000008</v>
      </c>
      <c r="U35" s="20">
        <v>36.853000000000002</v>
      </c>
      <c r="V35" s="20">
        <f>54.193-W35</f>
        <v>35.183999999999997</v>
      </c>
      <c r="W35" s="20">
        <v>19.009</v>
      </c>
      <c r="X35" s="20">
        <v>20.591000000000008</v>
      </c>
      <c r="Y35" s="20">
        <v>50.265999999999991</v>
      </c>
    </row>
    <row r="36" spans="1:25" s="11" customFormat="1" x14ac:dyDescent="0.2">
      <c r="A36" s="19" t="s">
        <v>16</v>
      </c>
      <c r="B36" s="21">
        <v>-9.7995999999999981</v>
      </c>
      <c r="C36" s="21">
        <v>-10.2514</v>
      </c>
      <c r="D36" s="21">
        <f>-51.983-E36-F36-G36</f>
        <v>-18.601000000000003</v>
      </c>
      <c r="E36" s="21">
        <f>-33.382-F36-G36</f>
        <v>-10.005999999999997</v>
      </c>
      <c r="F36" s="21">
        <f>-23.376-G36</f>
        <v>-12.053000000000001</v>
      </c>
      <c r="G36" s="21">
        <v>-11.323</v>
      </c>
      <c r="H36" s="21">
        <f>-34.875-I36-J36-K36</f>
        <v>-6.4540000000000042</v>
      </c>
      <c r="I36" s="21">
        <f>-28.421-J36-K36</f>
        <v>-13.022999999999998</v>
      </c>
      <c r="J36" s="21">
        <f>-15.398-K36</f>
        <v>-5.9049999999999994</v>
      </c>
      <c r="K36" s="21">
        <v>-9.4930000000000003</v>
      </c>
      <c r="L36" s="21">
        <f>-44.585-M36-N36-O36</f>
        <v>-11.698999999999996</v>
      </c>
      <c r="M36" s="21">
        <f>-32.886-N36-O36</f>
        <v>-13.050000000000002</v>
      </c>
      <c r="N36" s="21">
        <f>-19.836-O36</f>
        <v>-11.816999999999998</v>
      </c>
      <c r="O36" s="21">
        <v>-8.0190000000000001</v>
      </c>
      <c r="P36" s="21">
        <f>-32.913-S36-R36-Q36</f>
        <v>-10.158000000000001</v>
      </c>
      <c r="Q36" s="21">
        <f>-22.755-S36-R36</f>
        <v>-7.6539999999999964</v>
      </c>
      <c r="R36" s="21">
        <f>-15.101-S36</f>
        <v>-10.582000000000001</v>
      </c>
      <c r="S36" s="21">
        <v>-4.5190000000000001</v>
      </c>
      <c r="T36" s="21">
        <f>-28.633-6.494-W36-V36-U36</f>
        <v>-9.5949999999999989</v>
      </c>
      <c r="U36" s="21">
        <v>-9.8679999999999986</v>
      </c>
      <c r="V36" s="21">
        <f>-15.664-W36</f>
        <v>-12.855</v>
      </c>
      <c r="W36" s="21">
        <v>-2.8090000000000002</v>
      </c>
      <c r="X36" s="21">
        <v>-2.7759999999999998</v>
      </c>
      <c r="Y36" s="21">
        <v>-4.3060000000000009</v>
      </c>
    </row>
    <row r="37" spans="1:25" s="20" customFormat="1" x14ac:dyDescent="0.2">
      <c r="A37" s="20" t="s">
        <v>15</v>
      </c>
      <c r="B37" s="20">
        <f t="shared" ref="B37:Y37" si="30">+B35+B36</f>
        <v>44.648400000000002</v>
      </c>
      <c r="C37" s="20">
        <f t="shared" si="30"/>
        <v>22.601600000000001</v>
      </c>
      <c r="D37" s="20">
        <f t="shared" si="30"/>
        <v>32.650999999999996</v>
      </c>
      <c r="E37" s="20">
        <f t="shared" si="30"/>
        <v>37.304000000000002</v>
      </c>
      <c r="F37" s="20">
        <f t="shared" si="30"/>
        <v>35.486000000000004</v>
      </c>
      <c r="G37" s="20">
        <f t="shared" si="30"/>
        <v>1.8189999999999991</v>
      </c>
      <c r="H37" s="20">
        <f t="shared" si="30"/>
        <v>30.167999999999981</v>
      </c>
      <c r="I37" s="20">
        <f t="shared" si="30"/>
        <v>20.265000000000015</v>
      </c>
      <c r="J37" s="20">
        <f t="shared" si="30"/>
        <v>39.773999999999987</v>
      </c>
      <c r="K37" s="20">
        <f t="shared" si="30"/>
        <v>18.892000000000003</v>
      </c>
      <c r="L37" s="20">
        <f t="shared" si="30"/>
        <v>22.085000000000008</v>
      </c>
      <c r="M37" s="20">
        <f t="shared" si="30"/>
        <v>15.63899999999999</v>
      </c>
      <c r="N37" s="20">
        <f t="shared" si="30"/>
        <v>31.042999999999999</v>
      </c>
      <c r="O37" s="20">
        <f t="shared" si="30"/>
        <v>30.303000000000004</v>
      </c>
      <c r="P37" s="20">
        <f t="shared" si="30"/>
        <v>35.754000000000005</v>
      </c>
      <c r="Q37" s="20">
        <f t="shared" si="30"/>
        <v>42.34</v>
      </c>
      <c r="R37" s="20">
        <f t="shared" si="30"/>
        <v>30.928999999999995</v>
      </c>
      <c r="S37" s="20">
        <f t="shared" si="30"/>
        <v>21.749000000000002</v>
      </c>
      <c r="T37" s="20">
        <f t="shared" si="30"/>
        <v>15.19100000000001</v>
      </c>
      <c r="U37" s="20">
        <f t="shared" si="30"/>
        <v>26.985000000000003</v>
      </c>
      <c r="V37" s="20">
        <f t="shared" si="30"/>
        <v>22.328999999999997</v>
      </c>
      <c r="W37" s="20">
        <f t="shared" si="30"/>
        <v>16.2</v>
      </c>
      <c r="X37" s="20">
        <f t="shared" si="30"/>
        <v>17.815000000000008</v>
      </c>
      <c r="Y37" s="20">
        <f t="shared" si="30"/>
        <v>45.959999999999994</v>
      </c>
    </row>
    <row r="39" spans="1:25" s="16" customFormat="1" x14ac:dyDescent="0.2">
      <c r="A39" s="18" t="s">
        <v>14</v>
      </c>
      <c r="B39" s="19">
        <v>0</v>
      </c>
      <c r="C39" s="19">
        <v>0</v>
      </c>
      <c r="D39" s="19">
        <v>0</v>
      </c>
      <c r="E39" s="19">
        <v>0</v>
      </c>
      <c r="F39" s="19">
        <v>0</v>
      </c>
      <c r="G39" s="19">
        <v>0</v>
      </c>
      <c r="H39" s="19">
        <v>0</v>
      </c>
      <c r="I39" s="19">
        <v>0</v>
      </c>
      <c r="J39" s="19">
        <v>0</v>
      </c>
      <c r="K39" s="19">
        <v>0</v>
      </c>
      <c r="L39" s="19">
        <v>0</v>
      </c>
      <c r="M39" s="19">
        <v>0</v>
      </c>
      <c r="N39" s="19">
        <v>0</v>
      </c>
      <c r="O39" s="19">
        <v>0</v>
      </c>
      <c r="P39" s="19">
        <v>0</v>
      </c>
      <c r="Q39" s="19">
        <v>0</v>
      </c>
      <c r="R39" s="19">
        <v>0</v>
      </c>
      <c r="S39" s="19">
        <v>0</v>
      </c>
      <c r="T39" s="19">
        <v>0</v>
      </c>
      <c r="U39" s="19"/>
      <c r="V39" s="19"/>
      <c r="W39" s="19"/>
      <c r="X39" s="19"/>
      <c r="Y39" s="19"/>
    </row>
    <row r="40" spans="1:25" s="16" customFormat="1" x14ac:dyDescent="0.2">
      <c r="A40" s="18" t="s">
        <v>13</v>
      </c>
      <c r="B40" s="19">
        <v>1097.18</v>
      </c>
      <c r="C40" s="19">
        <v>1099.972</v>
      </c>
      <c r="D40" s="19">
        <f>1102.763+29.002</f>
        <v>1131.7649999999999</v>
      </c>
      <c r="E40" s="19">
        <f>1105.555+19.146</f>
        <v>1124.701</v>
      </c>
      <c r="F40" s="19">
        <f>1108.347+20.186</f>
        <v>1128.5329999999999</v>
      </c>
      <c r="G40" s="19">
        <f>1111.139+21.578</f>
        <v>1132.7169999999999</v>
      </c>
      <c r="H40" s="19">
        <f>973.93+16.452</f>
        <v>990.38199999999995</v>
      </c>
      <c r="I40" s="19">
        <f>976.372+3.657</f>
        <v>980.029</v>
      </c>
      <c r="J40" s="19">
        <f>978.856+0.314+2.912</f>
        <v>982.08199999999999</v>
      </c>
      <c r="K40" s="19">
        <f>981.34+3.51+0.359+2.474</f>
        <v>987.68300000000011</v>
      </c>
      <c r="L40" s="19">
        <f>983.825+0.401</f>
        <v>984.226</v>
      </c>
      <c r="M40" s="19">
        <f>986.309+0.445</f>
        <v>986.75400000000002</v>
      </c>
      <c r="N40" s="19">
        <f>988.794+0.487</f>
        <v>989.28099999999995</v>
      </c>
      <c r="O40" s="19">
        <f>991.278+0.528</f>
        <v>991.80600000000004</v>
      </c>
      <c r="P40" s="19">
        <f>993.762+0.569</f>
        <v>994.3309999999999</v>
      </c>
      <c r="Q40" s="19">
        <v>993.76300000000003</v>
      </c>
      <c r="R40" s="19">
        <f>996.253+0.648</f>
        <v>996.90100000000007</v>
      </c>
      <c r="S40" s="19">
        <f>996.253+0.686</f>
        <v>996.93900000000008</v>
      </c>
      <c r="T40" s="19">
        <f>998.75+0.724</f>
        <v>999.47400000000005</v>
      </c>
      <c r="U40" s="19"/>
      <c r="V40" s="19"/>
      <c r="W40" s="19"/>
      <c r="X40" s="19"/>
      <c r="Y40" s="19"/>
    </row>
    <row r="41" spans="1:25" s="16" customFormat="1" x14ac:dyDescent="0.2">
      <c r="A41" s="18" t="s">
        <v>12</v>
      </c>
      <c r="B41" s="19">
        <f t="shared" ref="B41" si="31">B39+B40</f>
        <v>1097.18</v>
      </c>
      <c r="C41" s="19">
        <f t="shared" ref="C41:T41" si="32">C39+C40</f>
        <v>1099.972</v>
      </c>
      <c r="D41" s="19">
        <f t="shared" si="32"/>
        <v>1131.7649999999999</v>
      </c>
      <c r="E41" s="19">
        <f t="shared" si="32"/>
        <v>1124.701</v>
      </c>
      <c r="F41" s="19">
        <f t="shared" si="32"/>
        <v>1128.5329999999999</v>
      </c>
      <c r="G41" s="19">
        <f t="shared" si="32"/>
        <v>1132.7169999999999</v>
      </c>
      <c r="H41" s="19">
        <f t="shared" si="32"/>
        <v>990.38199999999995</v>
      </c>
      <c r="I41" s="19">
        <f t="shared" si="32"/>
        <v>980.029</v>
      </c>
      <c r="J41" s="19">
        <f t="shared" si="32"/>
        <v>982.08199999999999</v>
      </c>
      <c r="K41" s="19">
        <f t="shared" si="32"/>
        <v>987.68300000000011</v>
      </c>
      <c r="L41" s="19">
        <f t="shared" si="32"/>
        <v>984.226</v>
      </c>
      <c r="M41" s="19">
        <f t="shared" si="32"/>
        <v>986.75400000000002</v>
      </c>
      <c r="N41" s="19">
        <f t="shared" si="32"/>
        <v>989.28099999999995</v>
      </c>
      <c r="O41" s="19">
        <f t="shared" si="32"/>
        <v>991.80600000000004</v>
      </c>
      <c r="P41" s="19">
        <f t="shared" si="32"/>
        <v>994.3309999999999</v>
      </c>
      <c r="Q41" s="19">
        <f t="shared" si="32"/>
        <v>993.76300000000003</v>
      </c>
      <c r="R41" s="19">
        <f t="shared" si="32"/>
        <v>996.90100000000007</v>
      </c>
      <c r="S41" s="19">
        <f t="shared" si="32"/>
        <v>996.93900000000008</v>
      </c>
      <c r="T41" s="19">
        <f t="shared" si="32"/>
        <v>999.47400000000005</v>
      </c>
      <c r="U41" s="19"/>
      <c r="V41" s="19"/>
      <c r="W41" s="19"/>
      <c r="X41" s="19"/>
      <c r="Y41" s="19"/>
    </row>
    <row r="42" spans="1:25" s="16" customFormat="1" x14ac:dyDescent="0.2">
      <c r="A42" s="18" t="s">
        <v>11</v>
      </c>
      <c r="B42" s="17">
        <f>130093017/1000000*15.79</f>
        <v>2054.1687384299998</v>
      </c>
      <c r="C42" s="17">
        <f>131294192/1000000*15.54</f>
        <v>2040.3117436800001</v>
      </c>
      <c r="D42" s="17">
        <f>130602620/1000000*15.48</f>
        <v>2021.7285576000002</v>
      </c>
      <c r="E42" s="17">
        <f>(126.211761+4.568497)*13.41</f>
        <v>1753.76325978</v>
      </c>
      <c r="F42" s="17">
        <f>(124409339+6301285)/1000000*13.01</f>
        <v>1700.5452182399999</v>
      </c>
      <c r="G42" s="17">
        <f>(123.202917+7.440587)*11.52</f>
        <v>1505.01316608</v>
      </c>
      <c r="H42" s="17">
        <f>(123186308+7440587)/1000000*12.74</f>
        <v>1664.1866422999999</v>
      </c>
      <c r="I42" s="17">
        <f>(120947081+9455184)/1000000*13.1</f>
        <v>1708.2696715</v>
      </c>
      <c r="J42" s="17">
        <f>(109323871+20999784)/1000000*14.37</f>
        <v>1872.7509223499999</v>
      </c>
      <c r="K42" s="17">
        <f>(101301842+28999784)/1000000*12.98</f>
        <v>1691.3151054800001</v>
      </c>
      <c r="L42" s="17">
        <f>(100046392+30255184)/1000000*11.85</f>
        <v>1544.0736756000001</v>
      </c>
      <c r="M42" s="17">
        <f>(99919503+30255184)/1000000*10.98</f>
        <v>1429.3180632600001</v>
      </c>
      <c r="N42" s="17">
        <f>(99919503+30255184)/1000000*10.87</f>
        <v>1414.99884769</v>
      </c>
      <c r="O42" s="17">
        <f>(99915614+30255184)/1000000*14.79</f>
        <v>1925.2261024199997</v>
      </c>
      <c r="P42" s="17">
        <f>(99855625+30255184)/1000000*14.81</f>
        <v>1926.9410812899998</v>
      </c>
      <c r="Q42" s="17">
        <f>(99632183+30398777)/1000000*14.67</f>
        <v>1907.5541831999999</v>
      </c>
      <c r="R42" s="17">
        <f>(99992183+30398777)/1000000*11.77</f>
        <v>1534.7015991999999</v>
      </c>
      <c r="S42" s="17">
        <f>(99285972+31104988)/1000000*16.68</f>
        <v>2174.9212127999999</v>
      </c>
      <c r="T42" s="17">
        <f>(98250917+31704988)/1000000*15.75</f>
        <v>2046.8055037500001</v>
      </c>
      <c r="U42" s="17"/>
      <c r="V42" s="17"/>
      <c r="W42" s="17"/>
      <c r="X42" s="17"/>
      <c r="Y42" s="17"/>
    </row>
    <row r="43" spans="1:25" x14ac:dyDescent="0.2">
      <c r="B43" s="16"/>
      <c r="C43" s="16"/>
      <c r="D43" s="16"/>
      <c r="E43" s="16"/>
      <c r="F43" s="16"/>
      <c r="G43" s="16"/>
      <c r="H43" s="16"/>
      <c r="I43" s="16"/>
      <c r="J43" s="16"/>
      <c r="K43" s="16"/>
      <c r="L43" s="16"/>
      <c r="M43" s="16"/>
      <c r="N43" s="16"/>
      <c r="O43" s="16"/>
      <c r="P43" s="16"/>
      <c r="Q43" s="16"/>
      <c r="R43" s="16"/>
      <c r="S43" s="16"/>
      <c r="T43" s="16"/>
    </row>
    <row r="44" spans="1:25" x14ac:dyDescent="0.2">
      <c r="A44" s="15" t="s">
        <v>10</v>
      </c>
      <c r="B44" s="27">
        <v>218.80699999999999</v>
      </c>
      <c r="C44" s="27">
        <v>197.846</v>
      </c>
      <c r="D44" s="27">
        <v>173.03399999999999</v>
      </c>
      <c r="E44" s="27">
        <v>152.297</v>
      </c>
      <c r="F44" s="27">
        <v>127.779</v>
      </c>
      <c r="G44" s="27">
        <v>96.167000000000002</v>
      </c>
      <c r="H44" s="27">
        <v>285.08699999999999</v>
      </c>
      <c r="I44" s="27">
        <v>266.87099999999998</v>
      </c>
      <c r="J44" s="27">
        <v>189.28399999999999</v>
      </c>
      <c r="K44" s="27">
        <v>160.483</v>
      </c>
      <c r="L44" s="27">
        <v>146.37700000000001</v>
      </c>
      <c r="M44" s="27">
        <v>127.396</v>
      </c>
      <c r="N44" s="27">
        <v>115.27200000000001</v>
      </c>
      <c r="O44" s="27">
        <v>100.45</v>
      </c>
      <c r="P44" s="27">
        <v>135.70099999999999</v>
      </c>
      <c r="Q44" s="27">
        <v>101.17100000000001</v>
      </c>
      <c r="R44" s="27">
        <v>66.224000000000004</v>
      </c>
      <c r="S44" s="27">
        <v>45.674999999999997</v>
      </c>
      <c r="T44" s="27">
        <v>26.855</v>
      </c>
      <c r="U44" s="27"/>
      <c r="V44" s="27"/>
      <c r="W44" s="14"/>
      <c r="X44" s="14"/>
      <c r="Y44" s="14"/>
    </row>
    <row r="46" spans="1:25" x14ac:dyDescent="0.2">
      <c r="A46" s="1" t="s">
        <v>9</v>
      </c>
      <c r="B46" s="11">
        <f t="shared" ref="B46:V46" si="33">SUM(B12:E12)</f>
        <v>1073.8040000000001</v>
      </c>
      <c r="C46" s="11">
        <f t="shared" si="33"/>
        <v>1038.5450000000001</v>
      </c>
      <c r="D46" s="11">
        <f t="shared" si="33"/>
        <v>1016.609</v>
      </c>
      <c r="E46" s="11">
        <f t="shared" si="33"/>
        <v>977.23199999999997</v>
      </c>
      <c r="F46" s="11">
        <f t="shared" si="33"/>
        <v>943.58799999999997</v>
      </c>
      <c r="G46" s="11">
        <f t="shared" si="33"/>
        <v>928.42200000000003</v>
      </c>
      <c r="H46" s="11">
        <f t="shared" si="33"/>
        <v>907.67499999999995</v>
      </c>
      <c r="I46" s="11">
        <f t="shared" si="33"/>
        <v>905.82400000000007</v>
      </c>
      <c r="J46" s="11">
        <f t="shared" si="33"/>
        <v>889.59500000000003</v>
      </c>
      <c r="K46" s="11">
        <f t="shared" si="33"/>
        <v>864.38400000000001</v>
      </c>
      <c r="L46" s="11">
        <f t="shared" si="33"/>
        <v>850.3889999999999</v>
      </c>
      <c r="M46" s="11">
        <f t="shared" si="33"/>
        <v>831.79600000000005</v>
      </c>
      <c r="N46" s="11">
        <f t="shared" si="33"/>
        <v>813.06399999999996</v>
      </c>
      <c r="O46" s="11">
        <f t="shared" si="33"/>
        <v>800.39299999999992</v>
      </c>
      <c r="P46" s="11">
        <f t="shared" si="33"/>
        <v>776.18799999999999</v>
      </c>
      <c r="Q46" s="11">
        <f t="shared" si="33"/>
        <v>758.79500000000007</v>
      </c>
      <c r="R46" s="11">
        <f t="shared" si="33"/>
        <v>762.74200000000008</v>
      </c>
      <c r="S46" s="11">
        <f t="shared" si="33"/>
        <v>751.90700000000004</v>
      </c>
      <c r="T46" s="11">
        <f t="shared" si="33"/>
        <v>727.58600000000001</v>
      </c>
      <c r="U46" s="11">
        <f t="shared" si="33"/>
        <v>695.78399999999999</v>
      </c>
      <c r="V46" s="11">
        <f t="shared" si="33"/>
        <v>657.79899999999998</v>
      </c>
    </row>
    <row r="47" spans="1:25" x14ac:dyDescent="0.2">
      <c r="A47" s="1" t="s">
        <v>8</v>
      </c>
      <c r="B47" s="11">
        <f t="shared" ref="B47" si="34">+B27</f>
        <v>253.75299999999999</v>
      </c>
      <c r="C47" s="11">
        <f t="shared" ref="C47:D47" si="35">+C27</f>
        <v>251.56799999999998</v>
      </c>
      <c r="D47" s="11">
        <f t="shared" si="35"/>
        <v>240.05999999999997</v>
      </c>
      <c r="E47" s="11">
        <f t="shared" ref="E47:F47" si="36">+E27</f>
        <v>228.70099999999999</v>
      </c>
      <c r="F47" s="11">
        <f t="shared" si="36"/>
        <v>216.24699999999999</v>
      </c>
      <c r="G47" s="11">
        <f t="shared" ref="G47:H47" si="37">+G27</f>
        <v>206.22199999999998</v>
      </c>
      <c r="H47" s="11">
        <f t="shared" si="37"/>
        <v>204.65699999999998</v>
      </c>
      <c r="I47" s="11">
        <f t="shared" ref="I47:J47" si="38">+I27</f>
        <v>203.697</v>
      </c>
      <c r="J47" s="11">
        <f t="shared" si="38"/>
        <v>196.05900000000003</v>
      </c>
      <c r="K47" s="11">
        <f t="shared" ref="K47:L47" si="39">+K27</f>
        <v>188.56800000000001</v>
      </c>
      <c r="L47" s="11">
        <f t="shared" si="39"/>
        <v>186.17399999999998</v>
      </c>
      <c r="M47" s="11">
        <f t="shared" ref="M47:V47" si="40">+M27</f>
        <v>192.58800000000002</v>
      </c>
      <c r="N47" s="11">
        <f t="shared" si="40"/>
        <v>207.114</v>
      </c>
      <c r="O47" s="11">
        <f t="shared" si="40"/>
        <v>222.73599999999999</v>
      </c>
      <c r="P47" s="11">
        <f t="shared" si="40"/>
        <v>230.21299999999997</v>
      </c>
      <c r="Q47" s="11">
        <f t="shared" si="40"/>
        <v>226.30899999999997</v>
      </c>
      <c r="R47" s="11">
        <f t="shared" si="40"/>
        <v>230.84399999999997</v>
      </c>
      <c r="S47" s="11">
        <f t="shared" si="40"/>
        <v>221.97699999999998</v>
      </c>
      <c r="T47" s="11">
        <f t="shared" si="40"/>
        <v>215.303</v>
      </c>
      <c r="U47" s="11">
        <f t="shared" si="40"/>
        <v>202.01299999999995</v>
      </c>
      <c r="V47" s="11">
        <f t="shared" si="40"/>
        <v>180.87299999999993</v>
      </c>
    </row>
    <row r="48" spans="1:25" x14ac:dyDescent="0.2">
      <c r="A48" s="1" t="s">
        <v>7</v>
      </c>
      <c r="B48" s="11">
        <f t="shared" ref="B48:H48" si="41">+SUM(B37:E37)</f>
        <v>137.20499999999998</v>
      </c>
      <c r="C48" s="11">
        <f t="shared" si="41"/>
        <v>128.04259999999999</v>
      </c>
      <c r="D48" s="11">
        <f t="shared" si="41"/>
        <v>107.26</v>
      </c>
      <c r="E48" s="11">
        <f t="shared" si="41"/>
        <v>104.77699999999999</v>
      </c>
      <c r="F48" s="11">
        <f t="shared" si="41"/>
        <v>87.738</v>
      </c>
      <c r="G48" s="11">
        <f t="shared" si="41"/>
        <v>92.025999999999982</v>
      </c>
      <c r="H48" s="11">
        <f t="shared" si="41"/>
        <v>109.09899999999999</v>
      </c>
      <c r="I48" s="11">
        <f t="shared" ref="I48:V48" si="42">+SUM(I37:L37)</f>
        <v>101.01600000000002</v>
      </c>
      <c r="J48" s="11">
        <f t="shared" si="42"/>
        <v>96.39</v>
      </c>
      <c r="K48" s="11">
        <f t="shared" si="42"/>
        <v>87.658999999999992</v>
      </c>
      <c r="L48" s="11">
        <f t="shared" si="42"/>
        <v>99.07</v>
      </c>
      <c r="M48" s="11">
        <f t="shared" si="42"/>
        <v>112.73899999999999</v>
      </c>
      <c r="N48" s="11">
        <f t="shared" si="42"/>
        <v>139.44</v>
      </c>
      <c r="O48" s="11">
        <f t="shared" si="42"/>
        <v>139.32600000000002</v>
      </c>
      <c r="P48" s="11">
        <f t="shared" si="42"/>
        <v>130.77199999999999</v>
      </c>
      <c r="Q48" s="11">
        <f t="shared" si="42"/>
        <v>110.209</v>
      </c>
      <c r="R48" s="11">
        <f t="shared" si="42"/>
        <v>94.853999999999999</v>
      </c>
      <c r="S48" s="11">
        <f t="shared" si="42"/>
        <v>86.254000000000005</v>
      </c>
      <c r="T48" s="11">
        <f t="shared" si="42"/>
        <v>80.705000000000013</v>
      </c>
      <c r="U48" s="11">
        <f t="shared" si="42"/>
        <v>83.329000000000008</v>
      </c>
      <c r="V48" s="11">
        <f t="shared" si="42"/>
        <v>102.304</v>
      </c>
    </row>
    <row r="50" spans="1:25" s="10" customFormat="1" x14ac:dyDescent="0.2">
      <c r="A50" s="10" t="s">
        <v>6</v>
      </c>
      <c r="B50" s="10">
        <f t="shared" ref="B50" si="43">+SUM(B39:B40)/B47</f>
        <v>4.3238109500183253</v>
      </c>
      <c r="C50" s="10">
        <f t="shared" ref="C50:D50" si="44">+SUM(C39:C40)/C47</f>
        <v>4.3724639063791901</v>
      </c>
      <c r="D50" s="10">
        <f t="shared" si="44"/>
        <v>4.7145088727818045</v>
      </c>
      <c r="E50" s="10">
        <f t="shared" ref="E50:F50" si="45">+SUM(E39:E40)/E47</f>
        <v>4.9177791089676042</v>
      </c>
      <c r="F50" s="10">
        <f t="shared" si="45"/>
        <v>5.2187221094396685</v>
      </c>
      <c r="G50" s="10">
        <f t="shared" ref="G50:H50" si="46">+SUM(G39:G40)/G47</f>
        <v>5.4927068886927675</v>
      </c>
      <c r="H50" s="10">
        <f t="shared" si="46"/>
        <v>4.8392285629125809</v>
      </c>
      <c r="I50" s="10">
        <f t="shared" ref="I50:J50" si="47">+SUM(I39:I40)/I47</f>
        <v>4.81120978708572</v>
      </c>
      <c r="J50" s="10">
        <f t="shared" si="47"/>
        <v>5.0091146032571823</v>
      </c>
      <c r="K50" s="10">
        <f t="shared" ref="K50:L50" si="48">+SUM(K39:K40)/K47</f>
        <v>5.2378081116626367</v>
      </c>
      <c r="L50" s="10">
        <f t="shared" si="48"/>
        <v>5.2865921127547351</v>
      </c>
      <c r="M50" s="10">
        <f t="shared" ref="M50:N50" si="49">+SUM(M39:M40)/M47</f>
        <v>5.12365256402268</v>
      </c>
      <c r="N50" s="10">
        <f t="shared" si="49"/>
        <v>4.7765047268653973</v>
      </c>
      <c r="O50" s="10">
        <f t="shared" ref="O50:T50" si="50">+SUM(O39:O40)/O47</f>
        <v>4.4528320522950944</v>
      </c>
      <c r="P50" s="10">
        <f t="shared" si="50"/>
        <v>4.3191783261588181</v>
      </c>
      <c r="Q50" s="10">
        <f t="shared" si="50"/>
        <v>4.3911775492799672</v>
      </c>
      <c r="R50" s="10">
        <f t="shared" si="50"/>
        <v>4.3185051376687298</v>
      </c>
      <c r="S50" s="10">
        <f t="shared" si="50"/>
        <v>4.4911815188060036</v>
      </c>
      <c r="T50" s="10">
        <f t="shared" si="50"/>
        <v>4.6421740523819919</v>
      </c>
    </row>
    <row r="51" spans="1:25" s="10" customFormat="1" x14ac:dyDescent="0.2">
      <c r="A51" s="10" t="s">
        <v>5</v>
      </c>
      <c r="B51" s="10">
        <f t="shared" ref="B51" si="51">+B41/B47</f>
        <v>4.3238109500183253</v>
      </c>
      <c r="C51" s="10">
        <f t="shared" ref="C51:D51" si="52">+C41/C47</f>
        <v>4.3724639063791901</v>
      </c>
      <c r="D51" s="10">
        <f t="shared" si="52"/>
        <v>4.7145088727818045</v>
      </c>
      <c r="E51" s="10">
        <f t="shared" ref="E51:F51" si="53">+E41/E47</f>
        <v>4.9177791089676042</v>
      </c>
      <c r="F51" s="10">
        <f t="shared" si="53"/>
        <v>5.2187221094396685</v>
      </c>
      <c r="G51" s="10">
        <f t="shared" ref="G51:H51" si="54">+G41/G47</f>
        <v>5.4927068886927675</v>
      </c>
      <c r="H51" s="10">
        <f t="shared" si="54"/>
        <v>4.8392285629125809</v>
      </c>
      <c r="I51" s="10">
        <f t="shared" ref="I51:J51" si="55">+I41/I47</f>
        <v>4.81120978708572</v>
      </c>
      <c r="J51" s="10">
        <f t="shared" si="55"/>
        <v>5.0091146032571823</v>
      </c>
      <c r="K51" s="10">
        <f t="shared" ref="K51:L51" si="56">+K41/K47</f>
        <v>5.2378081116626367</v>
      </c>
      <c r="L51" s="10">
        <f t="shared" si="56"/>
        <v>5.2865921127547351</v>
      </c>
      <c r="M51" s="10">
        <f t="shared" ref="M51:T51" si="57">+M41/M47</f>
        <v>5.12365256402268</v>
      </c>
      <c r="N51" s="10">
        <f t="shared" si="57"/>
        <v>4.7765047268653973</v>
      </c>
      <c r="O51" s="10">
        <f t="shared" si="57"/>
        <v>4.4528320522950944</v>
      </c>
      <c r="P51" s="10">
        <f t="shared" si="57"/>
        <v>4.3191783261588181</v>
      </c>
      <c r="Q51" s="10">
        <f t="shared" si="57"/>
        <v>4.3911775492799672</v>
      </c>
      <c r="R51" s="10">
        <f t="shared" si="57"/>
        <v>4.3185051376687298</v>
      </c>
      <c r="S51" s="10">
        <f t="shared" si="57"/>
        <v>4.4911815188060036</v>
      </c>
      <c r="T51" s="10">
        <f t="shared" si="57"/>
        <v>4.6421740523819919</v>
      </c>
    </row>
    <row r="52" spans="1:25" s="10" customFormat="1" x14ac:dyDescent="0.2">
      <c r="A52" s="10" t="s">
        <v>4</v>
      </c>
      <c r="B52" s="10">
        <f t="shared" ref="B52" si="58">+(B41-B44)/B47</f>
        <v>3.4615275484427772</v>
      </c>
      <c r="C52" s="10">
        <f t="shared" ref="C52:D52" si="59">+(C41-C44)/C47</f>
        <v>3.5860125294155063</v>
      </c>
      <c r="D52" s="10">
        <f t="shared" si="59"/>
        <v>3.9937140714821293</v>
      </c>
      <c r="E52" s="10">
        <f t="shared" ref="E52:F52" si="60">+(E41-E44)/E47</f>
        <v>4.2518572284336322</v>
      </c>
      <c r="F52" s="10">
        <f t="shared" si="60"/>
        <v>4.6278283629368264</v>
      </c>
      <c r="G52" s="10">
        <f t="shared" ref="G52:H52" si="61">+(G41-G44)/G47</f>
        <v>5.0263793387708393</v>
      </c>
      <c r="H52" s="10">
        <f t="shared" si="61"/>
        <v>3.4462295450436584</v>
      </c>
      <c r="I52" s="10">
        <f t="shared" ref="I52:J52" si="62">+(I41-I44)/I47</f>
        <v>3.5010726716642857</v>
      </c>
      <c r="J52" s="10">
        <f t="shared" si="62"/>
        <v>4.043670527749299</v>
      </c>
      <c r="K52" s="10">
        <f t="shared" ref="K52:L52" si="63">+(K41-K44)/K47</f>
        <v>4.3867464256925883</v>
      </c>
      <c r="L52" s="10">
        <f t="shared" si="63"/>
        <v>4.5003545070740278</v>
      </c>
      <c r="M52" s="10">
        <f t="shared" ref="M52:T52" si="64">+(M41-M44)/M47</f>
        <v>4.4621575591417946</v>
      </c>
      <c r="N52" s="10">
        <f t="shared" si="64"/>
        <v>4.2199416746332936</v>
      </c>
      <c r="O52" s="10">
        <f t="shared" si="64"/>
        <v>4.0018497234394079</v>
      </c>
      <c r="P52" s="10">
        <f t="shared" si="64"/>
        <v>3.7297198681221304</v>
      </c>
      <c r="Q52" s="10">
        <f t="shared" si="64"/>
        <v>3.9441294866752985</v>
      </c>
      <c r="R52" s="10">
        <f t="shared" si="64"/>
        <v>4.0316274193827875</v>
      </c>
      <c r="S52" s="10">
        <f t="shared" si="64"/>
        <v>4.2854169576127266</v>
      </c>
      <c r="T52" s="10">
        <f t="shared" si="64"/>
        <v>4.5174428595978693</v>
      </c>
    </row>
    <row r="53" spans="1:25" s="6" customFormat="1" x14ac:dyDescent="0.2">
      <c r="A53" s="6" t="s">
        <v>3</v>
      </c>
      <c r="B53" s="6">
        <f t="shared" ref="B53" si="65">+B48/B41</f>
        <v>0.12505240707996862</v>
      </c>
      <c r="C53" s="6">
        <f t="shared" ref="C53:D53" si="66">+C48/C41</f>
        <v>0.11640532668104278</v>
      </c>
      <c r="D53" s="6">
        <f t="shared" si="66"/>
        <v>9.4772324643366795E-2</v>
      </c>
      <c r="E53" s="6">
        <f t="shared" ref="E53:F53" si="67">+E48/E41</f>
        <v>9.315987093458615E-2</v>
      </c>
      <c r="F53" s="6">
        <f t="shared" si="67"/>
        <v>7.7745178918117594E-2</v>
      </c>
      <c r="G53" s="6">
        <f t="shared" ref="G53:H53" si="68">+G48/G41</f>
        <v>8.1243593942705888E-2</v>
      </c>
      <c r="H53" s="6">
        <f t="shared" si="68"/>
        <v>0.11015850449624488</v>
      </c>
      <c r="I53" s="6">
        <f t="shared" ref="I53:J53" si="69">+I48/I41</f>
        <v>0.10307450085660733</v>
      </c>
      <c r="J53" s="6">
        <f t="shared" si="69"/>
        <v>9.8148627100384689E-2</v>
      </c>
      <c r="K53" s="6">
        <f t="shared" ref="K53:L53" si="70">+K48/K41</f>
        <v>8.8752160359143559E-2</v>
      </c>
      <c r="L53" s="6">
        <f t="shared" si="70"/>
        <v>0.10065777575475551</v>
      </c>
      <c r="M53" s="6">
        <f t="shared" ref="M53:T53" si="71">+M48/M41</f>
        <v>0.1142523871197887</v>
      </c>
      <c r="N53" s="6">
        <f t="shared" si="71"/>
        <v>0.14095085218456638</v>
      </c>
      <c r="O53" s="6">
        <f t="shared" si="71"/>
        <v>0.14047706910424015</v>
      </c>
      <c r="P53" s="6">
        <f t="shared" si="71"/>
        <v>0.13151757312202877</v>
      </c>
      <c r="Q53" s="6">
        <f t="shared" si="71"/>
        <v>0.11090068758848941</v>
      </c>
      <c r="R53" s="6">
        <f t="shared" si="71"/>
        <v>9.514886633677766E-2</v>
      </c>
      <c r="S53" s="6">
        <f t="shared" si="71"/>
        <v>8.6518834151337237E-2</v>
      </c>
      <c r="T53" s="6">
        <f t="shared" si="71"/>
        <v>8.0747473170887901E-2</v>
      </c>
    </row>
    <row r="54" spans="1:25" s="6" customFormat="1" x14ac:dyDescent="0.2">
      <c r="A54" s="8" t="s">
        <v>2</v>
      </c>
      <c r="B54" s="9"/>
      <c r="C54" s="9"/>
      <c r="D54" s="9"/>
      <c r="E54" s="9"/>
      <c r="F54" s="9"/>
      <c r="G54" s="9"/>
      <c r="H54" s="9"/>
      <c r="I54" s="9"/>
      <c r="J54" s="9"/>
      <c r="K54" s="9"/>
      <c r="L54" s="9"/>
      <c r="M54" s="9"/>
      <c r="N54" s="9"/>
      <c r="O54" s="9"/>
      <c r="P54" s="9"/>
      <c r="Q54" s="9"/>
      <c r="R54" s="9"/>
      <c r="S54" s="9"/>
      <c r="T54" s="9"/>
      <c r="U54" s="9"/>
      <c r="V54" s="9"/>
      <c r="W54" s="8"/>
      <c r="X54" s="8"/>
      <c r="Y54" s="8"/>
    </row>
    <row r="55" spans="1:25" s="6" customFormat="1" x14ac:dyDescent="0.2">
      <c r="A55" s="6" t="s">
        <v>1</v>
      </c>
      <c r="B55" s="7">
        <f t="shared" ref="B55" si="72">IF(B42=0,IF(B54="","","*"&amp;TEXT(B54,"0.0x")),(B41+B42-B44)/B47)</f>
        <v>11.556678102051995</v>
      </c>
      <c r="C55" s="7">
        <f t="shared" ref="C55:D55" si="73">IF(C42=0,IF(C54="","","*"&amp;TEXT(C54,"0.0x")),(C41+C42-C44)/C47)</f>
        <v>11.696391209056797</v>
      </c>
      <c r="D55" s="7">
        <f t="shared" si="73"/>
        <v>12.415477620594851</v>
      </c>
      <c r="E55" s="7">
        <f t="shared" ref="E55:F55" si="74">IF(E42=0,IF(E54="","","*"&amp;TEXT(E54,"0.0x")),(E41+E42-E44)/E47)</f>
        <v>11.920224484282974</v>
      </c>
      <c r="F55" s="7">
        <f t="shared" si="74"/>
        <v>12.491730374247966</v>
      </c>
      <c r="G55" s="7">
        <f t="shared" ref="G55:H55" si="75">IF(G42=0,IF(G54="","","*"&amp;TEXT(G54,"0.0x")),(G41+G42-G44)/G47)</f>
        <v>12.324403633365986</v>
      </c>
      <c r="H55" s="7">
        <f t="shared" si="75"/>
        <v>11.577818703000631</v>
      </c>
      <c r="I55" s="7">
        <f t="shared" ref="I55:J55" si="76">IF(I42=0,IF(I54="","","*"&amp;TEXT(I54,"0.0x")),(I41+I42-I44)/I47)</f>
        <v>11.88739977270161</v>
      </c>
      <c r="J55" s="7">
        <f t="shared" si="76"/>
        <v>13.595646832586107</v>
      </c>
      <c r="K55" s="7">
        <f t="shared" ref="K55:L55" si="77">IF(K42=0,IF(K54="","","*"&amp;TEXT(K54,"0.0x")),(K41+K42-K44)/K47)</f>
        <v>13.356004759450171</v>
      </c>
      <c r="L55" s="7">
        <f t="shared" si="77"/>
        <v>12.794067246769155</v>
      </c>
      <c r="M55" s="7">
        <f t="shared" ref="M55:V55" si="78">IF(M42=0,IF(M54="","","*"&amp;TEXT(M54,"0.0x")),(M41+M42-M44)/M47)</f>
        <v>11.883793711238496</v>
      </c>
      <c r="N55" s="7">
        <f t="shared" si="78"/>
        <v>11.0519223601012</v>
      </c>
      <c r="O55" s="7">
        <f t="shared" si="78"/>
        <v>12.645383334620359</v>
      </c>
      <c r="P55" s="7">
        <f t="shared" si="78"/>
        <v>12.099972987146687</v>
      </c>
      <c r="Q55" s="7">
        <f t="shared" si="78"/>
        <v>12.373110142327528</v>
      </c>
      <c r="R55" s="7">
        <f t="shared" si="78"/>
        <v>10.679846992774342</v>
      </c>
      <c r="S55" s="7">
        <f t="shared" si="78"/>
        <v>14.083374461318066</v>
      </c>
      <c r="T55" s="7">
        <f t="shared" si="78"/>
        <v>14.024070745646833</v>
      </c>
      <c r="U55" s="7" t="str">
        <f t="shared" si="78"/>
        <v/>
      </c>
      <c r="V55" s="7" t="str">
        <f t="shared" si="78"/>
        <v/>
      </c>
      <c r="W55" s="7" t="str">
        <f>IF(W42=0,IF(W54="","",CONCATENATE("* ",W54,"x")),(W41+W42-W44)/W47)</f>
        <v/>
      </c>
      <c r="X55" s="7" t="str">
        <f>IF(X42=0,IF(X54="","",CONCATENATE("* ",X54,"x")),(X41+X42-X44)/X47)</f>
        <v/>
      </c>
      <c r="Y55" s="7" t="str">
        <f>IF(Y42=0,IF(Y54="","",CONCATENATE("* ",Y54,"x")),(Y41+Y42-Y44)/Y47)</f>
        <v/>
      </c>
    </row>
    <row r="56" spans="1:25" x14ac:dyDescent="0.2">
      <c r="V56" s="3"/>
    </row>
    <row r="57" spans="1:25" ht="80.25" customHeight="1" x14ac:dyDescent="0.2">
      <c r="A57" s="5" t="s">
        <v>0</v>
      </c>
      <c r="B57" s="4" t="s">
        <v>236</v>
      </c>
      <c r="C57" s="4" t="s">
        <v>236</v>
      </c>
      <c r="D57" s="4" t="s">
        <v>279</v>
      </c>
      <c r="E57" s="4" t="s">
        <v>236</v>
      </c>
      <c r="F57" s="4" t="s">
        <v>236</v>
      </c>
      <c r="G57" s="4" t="s">
        <v>236</v>
      </c>
      <c r="H57" s="4" t="s">
        <v>279</v>
      </c>
      <c r="I57" s="4" t="s">
        <v>236</v>
      </c>
      <c r="J57" s="4" t="s">
        <v>236</v>
      </c>
      <c r="K57" s="4" t="s">
        <v>236</v>
      </c>
      <c r="L57" s="4" t="s">
        <v>279</v>
      </c>
      <c r="M57" s="4" t="s">
        <v>236</v>
      </c>
      <c r="N57" s="4"/>
      <c r="O57" s="4"/>
      <c r="P57" s="4"/>
      <c r="Q57" s="4"/>
      <c r="R57" s="4"/>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U46:V47" formulaRange="1"/>
  </ignoredError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0" width="10.7109375" style="1" customWidth="1"/>
    <col min="21" max="16384" width="9.140625" style="1"/>
  </cols>
  <sheetData>
    <row r="1" spans="1:24" x14ac:dyDescent="0.2">
      <c r="X1" s="59" t="s">
        <v>144</v>
      </c>
    </row>
    <row r="2" spans="1:24" x14ac:dyDescent="0.2">
      <c r="A2" s="34" t="s">
        <v>45</v>
      </c>
      <c r="B2" s="1" t="s">
        <v>143</v>
      </c>
    </row>
    <row r="3" spans="1:24" s="35" customFormat="1" x14ac:dyDescent="0.2">
      <c r="A3" s="36" t="s">
        <v>43</v>
      </c>
      <c r="B3" s="35" t="s">
        <v>142</v>
      </c>
    </row>
    <row r="4" spans="1:24" x14ac:dyDescent="0.2">
      <c r="A4" s="34" t="s">
        <v>41</v>
      </c>
      <c r="B4" s="1" t="s">
        <v>40</v>
      </c>
    </row>
    <row r="5" spans="1:24" x14ac:dyDescent="0.2">
      <c r="A5" s="34" t="s">
        <v>39</v>
      </c>
    </row>
    <row r="6" spans="1:24" x14ac:dyDescent="0.2">
      <c r="A6" s="34" t="s">
        <v>38</v>
      </c>
      <c r="B6" s="1">
        <v>3</v>
      </c>
    </row>
    <row r="7" spans="1:24" x14ac:dyDescent="0.2">
      <c r="A7" s="34" t="s">
        <v>37</v>
      </c>
      <c r="B7" s="1" t="s">
        <v>233</v>
      </c>
    </row>
    <row r="8" spans="1:24" x14ac:dyDescent="0.2">
      <c r="A8" s="34" t="s">
        <v>281</v>
      </c>
      <c r="B8" s="1" t="s">
        <v>311</v>
      </c>
    </row>
    <row r="9" spans="1:24" x14ac:dyDescent="0.2">
      <c r="A9" s="22"/>
    </row>
    <row r="10" spans="1:24" x14ac:dyDescent="0.2">
      <c r="A10" s="22" t="s">
        <v>36</v>
      </c>
      <c r="B10" s="33">
        <v>44104</v>
      </c>
      <c r="C10" s="33">
        <v>44012</v>
      </c>
      <c r="D10" s="33">
        <v>43921</v>
      </c>
      <c r="E10" s="33">
        <v>43830</v>
      </c>
      <c r="F10" s="33">
        <v>43738</v>
      </c>
      <c r="G10" s="33">
        <v>43646</v>
      </c>
      <c r="H10" s="33">
        <v>43555</v>
      </c>
      <c r="I10" s="33">
        <v>43465</v>
      </c>
      <c r="J10" s="33">
        <v>43373</v>
      </c>
      <c r="K10" s="33">
        <v>43281</v>
      </c>
      <c r="L10" s="33">
        <v>43190</v>
      </c>
      <c r="M10" s="33">
        <v>43100</v>
      </c>
      <c r="N10" s="33">
        <f t="shared" ref="N10:T10" si="0">EOMONTH(M10,-3)</f>
        <v>43008</v>
      </c>
      <c r="O10" s="33">
        <f t="shared" si="0"/>
        <v>42916</v>
      </c>
      <c r="P10" s="33">
        <f t="shared" si="0"/>
        <v>42825</v>
      </c>
      <c r="Q10" s="33">
        <f t="shared" si="0"/>
        <v>42735</v>
      </c>
      <c r="R10" s="33">
        <f t="shared" si="0"/>
        <v>42643</v>
      </c>
      <c r="S10" s="33">
        <f t="shared" si="0"/>
        <v>42551</v>
      </c>
      <c r="T10" s="33">
        <f t="shared" si="0"/>
        <v>42460</v>
      </c>
    </row>
    <row r="12" spans="1:24" x14ac:dyDescent="0.2">
      <c r="A12" s="15" t="s">
        <v>35</v>
      </c>
      <c r="B12" s="19">
        <v>73.185000000000002</v>
      </c>
      <c r="C12" s="19">
        <v>65.909000000000006</v>
      </c>
      <c r="D12" s="19">
        <v>64.885999999999996</v>
      </c>
      <c r="E12" s="19">
        <f>262.852-F12-G12-H12</f>
        <v>62.046999999999954</v>
      </c>
      <c r="F12" s="19">
        <v>67.679000000000002</v>
      </c>
      <c r="G12" s="19">
        <v>66.991</v>
      </c>
      <c r="H12" s="19">
        <v>66.135000000000005</v>
      </c>
      <c r="I12" s="19">
        <f>244.483-J12-K12-L12</f>
        <v>55.234999999999992</v>
      </c>
      <c r="J12" s="19">
        <v>58.274999999999999</v>
      </c>
      <c r="K12" s="19">
        <v>69.180000000000007</v>
      </c>
      <c r="L12" s="19">
        <v>61.792999999999999</v>
      </c>
      <c r="M12" s="19">
        <f>205.971-N12-O12-P12</f>
        <v>60.043000000000006</v>
      </c>
      <c r="N12" s="19">
        <v>46.857999999999997</v>
      </c>
      <c r="O12" s="19">
        <v>48.076000000000001</v>
      </c>
      <c r="P12" s="19">
        <v>50.994</v>
      </c>
      <c r="Q12" s="19"/>
      <c r="R12" s="19"/>
      <c r="S12" s="19"/>
      <c r="T12" s="19"/>
    </row>
    <row r="13" spans="1:24" s="28" customFormat="1" x14ac:dyDescent="0.2">
      <c r="A13" s="28" t="s">
        <v>34</v>
      </c>
      <c r="B13" s="28">
        <f t="shared" ref="B13:L13" si="1">+B12/F12-1</f>
        <v>8.1354629944295764E-2</v>
      </c>
      <c r="C13" s="28">
        <f t="shared" si="1"/>
        <v>-1.6151423325521219E-2</v>
      </c>
      <c r="D13" s="28">
        <f t="shared" si="1"/>
        <v>-1.888561276177525E-2</v>
      </c>
      <c r="E13" s="28">
        <f t="shared" si="1"/>
        <v>0.12332760025346179</v>
      </c>
      <c r="F13" s="28">
        <f t="shared" si="1"/>
        <v>0.16137280137280152</v>
      </c>
      <c r="G13" s="28">
        <f t="shared" si="1"/>
        <v>-3.164209309048871E-2</v>
      </c>
      <c r="H13" s="28">
        <f t="shared" si="1"/>
        <v>7.0266858705678725E-2</v>
      </c>
      <c r="I13" s="28">
        <f t="shared" si="1"/>
        <v>-8.0075945572340101E-2</v>
      </c>
      <c r="J13" s="28">
        <f t="shared" si="1"/>
        <v>0.24365103077382733</v>
      </c>
      <c r="K13" s="28">
        <f t="shared" si="1"/>
        <v>0.4389716282552627</v>
      </c>
      <c r="L13" s="28">
        <f t="shared" si="1"/>
        <v>0.21177001215829305</v>
      </c>
    </row>
    <row r="14" spans="1:24"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c r="N14" s="32"/>
      <c r="O14" s="32"/>
      <c r="P14" s="32"/>
      <c r="Q14" s="31"/>
      <c r="R14" s="31"/>
      <c r="S14" s="31"/>
      <c r="T14" s="31"/>
    </row>
    <row r="16" spans="1:24" s="22" customFormat="1" x14ac:dyDescent="0.2">
      <c r="A16" s="30" t="s">
        <v>31</v>
      </c>
      <c r="B16" s="29">
        <v>18.603000000000002</v>
      </c>
      <c r="C16" s="29">
        <v>17.198</v>
      </c>
      <c r="D16" s="29">
        <v>10.984999999999999</v>
      </c>
      <c r="E16" s="29">
        <v>9.3940000000000001</v>
      </c>
      <c r="F16" s="29">
        <v>17.838999999999999</v>
      </c>
      <c r="G16" s="29">
        <v>21.160999999999998</v>
      </c>
      <c r="H16" s="29">
        <v>19.347000000000001</v>
      </c>
      <c r="I16" s="29">
        <v>9.9619999999999997</v>
      </c>
      <c r="J16" s="29">
        <v>16.152999999999999</v>
      </c>
      <c r="K16" s="29">
        <v>26.413</v>
      </c>
      <c r="L16" s="29">
        <v>21.785</v>
      </c>
      <c r="M16" s="29">
        <f>62.584-N16-O16-P16</f>
        <v>14.599</v>
      </c>
      <c r="N16" s="29">
        <v>12.53</v>
      </c>
      <c r="O16" s="29">
        <v>16.812999999999999</v>
      </c>
      <c r="P16" s="29">
        <v>18.641999999999999</v>
      </c>
      <c r="Q16" s="29"/>
      <c r="R16" s="29"/>
      <c r="S16" s="29"/>
      <c r="T16" s="29"/>
    </row>
    <row r="17" spans="1:22" s="28" customFormat="1" x14ac:dyDescent="0.2">
      <c r="A17" s="28" t="s">
        <v>30</v>
      </c>
      <c r="B17" s="28">
        <f t="shared" ref="B17" si="2">+B16/B12</f>
        <v>0.25419143267062921</v>
      </c>
      <c r="C17" s="28">
        <f t="shared" ref="C17:D17" si="3">+C16/C12</f>
        <v>0.26093553232487215</v>
      </c>
      <c r="D17" s="28">
        <f t="shared" si="3"/>
        <v>0.1692969207533212</v>
      </c>
      <c r="E17" s="28">
        <f t="shared" ref="E17:F17" si="4">+E16/E12</f>
        <v>0.15140135703579555</v>
      </c>
      <c r="F17" s="28">
        <f t="shared" si="4"/>
        <v>0.26358249974142639</v>
      </c>
      <c r="G17" s="28">
        <f t="shared" ref="G17:H17" si="5">+G16/G12</f>
        <v>0.31587825230254807</v>
      </c>
      <c r="H17" s="28">
        <f t="shared" si="5"/>
        <v>0.2925379904740304</v>
      </c>
      <c r="I17" s="28">
        <f t="shared" ref="I17:P17" si="6">+I16/I12</f>
        <v>0.18035665791617636</v>
      </c>
      <c r="J17" s="28">
        <f t="shared" si="6"/>
        <v>0.27718575718575716</v>
      </c>
      <c r="K17" s="28">
        <f t="shared" si="6"/>
        <v>0.38180109858340555</v>
      </c>
      <c r="L17" s="28">
        <f t="shared" si="6"/>
        <v>0.35254802323887818</v>
      </c>
      <c r="M17" s="28">
        <f t="shared" si="6"/>
        <v>0.24314241460286792</v>
      </c>
      <c r="N17" s="28">
        <f t="shared" si="6"/>
        <v>0.26740364505527336</v>
      </c>
      <c r="O17" s="28">
        <f t="shared" si="6"/>
        <v>0.34971711456859966</v>
      </c>
      <c r="P17" s="28">
        <f t="shared" si="6"/>
        <v>0.36557242028473935</v>
      </c>
      <c r="V17" s="120"/>
    </row>
    <row r="18" spans="1:22" s="23" customFormat="1" x14ac:dyDescent="0.2"/>
    <row r="19" spans="1:22"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c r="R19" s="19"/>
      <c r="S19" s="19"/>
      <c r="T19" s="19"/>
      <c r="V19" s="119"/>
    </row>
    <row r="20" spans="1:22"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c r="R20" s="19"/>
      <c r="S20" s="19"/>
      <c r="T20" s="19"/>
    </row>
    <row r="21" spans="1:22"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c r="R21" s="19"/>
      <c r="S21" s="19"/>
      <c r="T21" s="19"/>
    </row>
    <row r="22" spans="1:22" s="22" customFormat="1" x14ac:dyDescent="0.2">
      <c r="A22" s="22" t="s">
        <v>23</v>
      </c>
      <c r="B22" s="20">
        <f t="shared" ref="B22" si="7">B16+B19+B20+B21</f>
        <v>18.603000000000002</v>
      </c>
      <c r="C22" s="20">
        <f t="shared" ref="C22:D22" si="8">C16+C19+C20+C21</f>
        <v>17.198</v>
      </c>
      <c r="D22" s="20">
        <f t="shared" si="8"/>
        <v>10.984999999999999</v>
      </c>
      <c r="E22" s="20">
        <f t="shared" ref="E22:F22" si="9">E16+E19+E20+E21</f>
        <v>9.3940000000000001</v>
      </c>
      <c r="F22" s="20">
        <f t="shared" si="9"/>
        <v>17.838999999999999</v>
      </c>
      <c r="G22" s="20">
        <f t="shared" ref="G22:P22" si="10">G16+G19+G20+G21</f>
        <v>21.160999999999998</v>
      </c>
      <c r="H22" s="20">
        <f t="shared" si="10"/>
        <v>19.347000000000001</v>
      </c>
      <c r="I22" s="20">
        <f t="shared" si="10"/>
        <v>9.9619999999999997</v>
      </c>
      <c r="J22" s="20">
        <f t="shared" si="10"/>
        <v>16.152999999999999</v>
      </c>
      <c r="K22" s="20">
        <f t="shared" si="10"/>
        <v>26.413</v>
      </c>
      <c r="L22" s="20">
        <f t="shared" si="10"/>
        <v>21.785</v>
      </c>
      <c r="M22" s="20">
        <f t="shared" si="10"/>
        <v>14.599</v>
      </c>
      <c r="N22" s="20">
        <f t="shared" si="10"/>
        <v>12.53</v>
      </c>
      <c r="O22" s="20">
        <f t="shared" si="10"/>
        <v>16.812999999999999</v>
      </c>
      <c r="P22" s="20">
        <f t="shared" si="10"/>
        <v>18.641999999999999</v>
      </c>
      <c r="Q22" s="20"/>
      <c r="R22" s="20"/>
      <c r="S22" s="20"/>
      <c r="T22" s="20"/>
    </row>
    <row r="23" spans="1:22" s="22" customFormat="1" x14ac:dyDescent="0.2">
      <c r="B23" s="28"/>
      <c r="C23" s="28"/>
      <c r="D23" s="28"/>
      <c r="E23" s="28"/>
      <c r="F23" s="28"/>
      <c r="G23" s="28"/>
      <c r="H23" s="28"/>
      <c r="I23" s="28"/>
      <c r="J23" s="20"/>
      <c r="K23" s="20"/>
      <c r="L23" s="20"/>
      <c r="M23" s="20"/>
      <c r="N23" s="20"/>
      <c r="O23" s="20"/>
      <c r="P23" s="20"/>
      <c r="Q23" s="20"/>
      <c r="R23" s="20"/>
      <c r="S23" s="20"/>
      <c r="T23" s="20"/>
    </row>
    <row r="24" spans="1:22" s="22" customFormat="1" x14ac:dyDescent="0.2">
      <c r="A24" s="22" t="s">
        <v>27</v>
      </c>
      <c r="B24" s="63">
        <f t="shared" ref="B24:M24" si="11">SUM(B22:E22)</f>
        <v>56.18</v>
      </c>
      <c r="C24" s="63">
        <f t="shared" si="11"/>
        <v>55.415999999999997</v>
      </c>
      <c r="D24" s="63">
        <f t="shared" si="11"/>
        <v>59.378999999999991</v>
      </c>
      <c r="E24" s="63">
        <f t="shared" si="11"/>
        <v>67.740999999999985</v>
      </c>
      <c r="F24" s="63">
        <f t="shared" si="11"/>
        <v>68.308999999999997</v>
      </c>
      <c r="G24" s="63">
        <f t="shared" si="11"/>
        <v>66.62299999999999</v>
      </c>
      <c r="H24" s="63">
        <f t="shared" si="11"/>
        <v>71.875</v>
      </c>
      <c r="I24" s="63">
        <f t="shared" si="11"/>
        <v>74.313000000000002</v>
      </c>
      <c r="J24" s="63">
        <f t="shared" si="11"/>
        <v>78.95</v>
      </c>
      <c r="K24" s="63">
        <f t="shared" si="11"/>
        <v>75.326999999999998</v>
      </c>
      <c r="L24" s="63">
        <f t="shared" si="11"/>
        <v>65.727000000000004</v>
      </c>
      <c r="M24" s="63">
        <f t="shared" si="11"/>
        <v>62.583999999999989</v>
      </c>
      <c r="N24" s="20"/>
      <c r="O24" s="20"/>
      <c r="P24" s="20"/>
      <c r="Q24" s="20"/>
      <c r="R24" s="20"/>
      <c r="S24" s="20"/>
      <c r="T24" s="20"/>
    </row>
    <row r="25" spans="1:22" s="23" customFormat="1" x14ac:dyDescent="0.2">
      <c r="A25" s="15" t="s">
        <v>26</v>
      </c>
      <c r="B25" s="27">
        <f>95.4/1.28-B24</f>
        <v>18.35125</v>
      </c>
      <c r="C25" s="27">
        <f>(93.5/1.26)-C24</f>
        <v>18.790349206349205</v>
      </c>
      <c r="D25" s="27">
        <f>92.6/1.27-D24</f>
        <v>13.534385826771654</v>
      </c>
      <c r="E25" s="27">
        <f>107.9/1.3247-E24</f>
        <v>13.711404317958809</v>
      </c>
      <c r="F25" s="27">
        <f>109.1/1.2293-F24</f>
        <v>20.440694948344586</v>
      </c>
      <c r="G25" s="27">
        <f>82.9628148148148-G24</f>
        <v>16.339814814814815</v>
      </c>
      <c r="H25" s="27">
        <f>I25</f>
        <v>14.501814814814807</v>
      </c>
      <c r="I25" s="27">
        <f>I27-I26-I24</f>
        <v>14.501814814814807</v>
      </c>
      <c r="J25" s="27">
        <f>J27-J26-J24</f>
        <v>19.286196319018387</v>
      </c>
      <c r="K25" s="27">
        <f>K27-K26-K24</f>
        <v>20.715999999999994</v>
      </c>
      <c r="L25" s="27">
        <f>M25</f>
        <v>24.250319526627223</v>
      </c>
      <c r="M25" s="27">
        <f>M27-M26-M24</f>
        <v>24.250319526627223</v>
      </c>
      <c r="N25" s="27"/>
      <c r="O25" s="27"/>
      <c r="P25" s="27"/>
      <c r="Q25" s="27"/>
      <c r="R25" s="27"/>
      <c r="S25" s="27"/>
      <c r="T25" s="27"/>
    </row>
    <row r="26" spans="1:22" s="23" customFormat="1" x14ac:dyDescent="0.2">
      <c r="A26" s="15" t="s">
        <v>25</v>
      </c>
      <c r="B26" s="21">
        <v>0</v>
      </c>
      <c r="C26" s="21">
        <v>0</v>
      </c>
      <c r="D26" s="21">
        <v>0</v>
      </c>
      <c r="E26" s="21">
        <v>0</v>
      </c>
      <c r="F26" s="21">
        <v>0</v>
      </c>
      <c r="G26" s="21">
        <v>0</v>
      </c>
      <c r="H26" s="21">
        <v>0</v>
      </c>
      <c r="I26" s="21">
        <v>0</v>
      </c>
      <c r="J26" s="21">
        <v>0</v>
      </c>
      <c r="K26" s="21">
        <v>0</v>
      </c>
      <c r="L26" s="21">
        <f>M26</f>
        <v>4.3639053254437865</v>
      </c>
      <c r="M26" s="21">
        <f>(4.7+1.2)/1.352</f>
        <v>4.3639053254437865</v>
      </c>
      <c r="N26" s="21"/>
      <c r="O26" s="21"/>
      <c r="P26" s="21"/>
      <c r="Q26" s="21"/>
      <c r="R26" s="26"/>
      <c r="S26" s="26"/>
      <c r="T26" s="26"/>
    </row>
    <row r="27" spans="1:22" s="24" customFormat="1" x14ac:dyDescent="0.2">
      <c r="A27" s="22" t="s">
        <v>24</v>
      </c>
      <c r="B27" s="20">
        <f t="shared" ref="B27" si="12">B24+B25+B26</f>
        <v>74.53125</v>
      </c>
      <c r="C27" s="20">
        <f t="shared" ref="C27:H27" si="13">C24+C25+C26</f>
        <v>74.206349206349202</v>
      </c>
      <c r="D27" s="20">
        <f t="shared" si="13"/>
        <v>72.913385826771645</v>
      </c>
      <c r="E27" s="20">
        <f t="shared" si="13"/>
        <v>81.452404317958795</v>
      </c>
      <c r="F27" s="20">
        <f t="shared" si="13"/>
        <v>88.749694948344583</v>
      </c>
      <c r="G27" s="20">
        <f t="shared" si="13"/>
        <v>82.962814814814806</v>
      </c>
      <c r="H27" s="20">
        <f t="shared" si="13"/>
        <v>86.376814814814807</v>
      </c>
      <c r="I27" s="20">
        <f>119.9/1.35</f>
        <v>88.81481481481481</v>
      </c>
      <c r="J27" s="20">
        <f>128.1/1.304</f>
        <v>98.23619631901839</v>
      </c>
      <c r="K27" s="20">
        <v>96.042999999999992</v>
      </c>
      <c r="L27" s="20">
        <f>L24+L25+L26</f>
        <v>94.341224852071008</v>
      </c>
      <c r="M27" s="20">
        <f>123.3/1.352</f>
        <v>91.198224852070993</v>
      </c>
      <c r="N27" s="20"/>
      <c r="O27" s="20"/>
      <c r="P27" s="20"/>
      <c r="Q27" s="20"/>
      <c r="R27" s="25"/>
      <c r="S27" s="25"/>
      <c r="T27" s="25"/>
    </row>
    <row r="28" spans="1:22" s="23" customFormat="1" x14ac:dyDescent="0.2"/>
    <row r="29" spans="1:22" s="22" customFormat="1" x14ac:dyDescent="0.2">
      <c r="A29" s="22" t="s">
        <v>23</v>
      </c>
      <c r="B29" s="20">
        <f t="shared" ref="B29:C29" si="14">B22</f>
        <v>18.603000000000002</v>
      </c>
      <c r="C29" s="20">
        <f t="shared" si="14"/>
        <v>17.198</v>
      </c>
      <c r="D29" s="20">
        <f t="shared" ref="D29:L29" si="15">D22</f>
        <v>10.984999999999999</v>
      </c>
      <c r="E29" s="20">
        <f t="shared" si="15"/>
        <v>9.3940000000000001</v>
      </c>
      <c r="F29" s="20">
        <f t="shared" si="15"/>
        <v>17.838999999999999</v>
      </c>
      <c r="G29" s="20">
        <f t="shared" si="15"/>
        <v>21.160999999999998</v>
      </c>
      <c r="H29" s="20">
        <f t="shared" si="15"/>
        <v>19.347000000000001</v>
      </c>
      <c r="I29" s="20">
        <f t="shared" si="15"/>
        <v>9.9619999999999997</v>
      </c>
      <c r="J29" s="20">
        <f t="shared" si="15"/>
        <v>16.152999999999999</v>
      </c>
      <c r="K29" s="20">
        <f t="shared" si="15"/>
        <v>26.413</v>
      </c>
      <c r="L29" s="20">
        <f t="shared" si="15"/>
        <v>21.785</v>
      </c>
      <c r="M29" s="20"/>
      <c r="N29" s="20">
        <f>N22</f>
        <v>12.53</v>
      </c>
      <c r="O29" s="20">
        <f>O22</f>
        <v>16.812999999999999</v>
      </c>
      <c r="P29" s="20">
        <f>P22</f>
        <v>18.641999999999999</v>
      </c>
      <c r="Q29" s="20"/>
      <c r="R29" s="20"/>
      <c r="S29" s="20"/>
      <c r="T29" s="20"/>
    </row>
    <row r="30" spans="1:22" s="11" customFormat="1" x14ac:dyDescent="0.2">
      <c r="A30" s="19" t="s">
        <v>22</v>
      </c>
      <c r="B30" s="19">
        <v>-9.4309999999999992</v>
      </c>
      <c r="C30" s="19">
        <v>-20.094999999999999</v>
      </c>
      <c r="D30" s="19">
        <v>-24.4</v>
      </c>
      <c r="E30" s="19">
        <v>-17.052999999999997</v>
      </c>
      <c r="F30" s="19">
        <v>-18.004000000000001</v>
      </c>
      <c r="G30" s="19">
        <v>-16.877000000000002</v>
      </c>
      <c r="H30" s="19">
        <v>-25.110999999999997</v>
      </c>
      <c r="I30" s="19">
        <v>-29.944000000000003</v>
      </c>
      <c r="J30" s="19">
        <v>-19.068999999999999</v>
      </c>
      <c r="K30" s="19">
        <v>-9.8910000000000018</v>
      </c>
      <c r="L30" s="19">
        <v>-20.417999999999999</v>
      </c>
      <c r="M30" s="19"/>
      <c r="N30" s="19">
        <v>-11.853999999999999</v>
      </c>
      <c r="O30" s="19">
        <v>-2.3029999999999999</v>
      </c>
      <c r="P30" s="19">
        <v>-8.7680000000000007</v>
      </c>
      <c r="Q30" s="19"/>
      <c r="R30" s="19"/>
      <c r="S30" s="19"/>
      <c r="T30" s="19"/>
    </row>
    <row r="31" spans="1:22" s="11" customFormat="1" x14ac:dyDescent="0.2">
      <c r="A31" s="19" t="s">
        <v>21</v>
      </c>
      <c r="B31" s="19">
        <v>-0.86</v>
      </c>
      <c r="C31" s="19">
        <v>-0.68700000000000006</v>
      </c>
      <c r="D31" s="19">
        <v>-0.73699999999999999</v>
      </c>
      <c r="E31" s="19">
        <v>6.4830000000000005</v>
      </c>
      <c r="F31" s="19">
        <v>-2.3109999999999999</v>
      </c>
      <c r="G31" s="19">
        <v>-5.4929999999999994</v>
      </c>
      <c r="H31" s="19">
        <v>-0.66100000000000003</v>
      </c>
      <c r="I31" s="19">
        <v>-0.44299999999999962</v>
      </c>
      <c r="J31" s="19">
        <v>-2.758</v>
      </c>
      <c r="K31" s="19">
        <v>-1.52</v>
      </c>
      <c r="L31" s="19">
        <v>-1.097</v>
      </c>
      <c r="M31" s="19"/>
      <c r="N31" s="19">
        <v>0</v>
      </c>
      <c r="O31" s="19">
        <v>0</v>
      </c>
      <c r="P31" s="19">
        <v>0</v>
      </c>
      <c r="Q31" s="19"/>
      <c r="R31" s="19"/>
      <c r="S31" s="19"/>
      <c r="T31" s="19"/>
    </row>
    <row r="32" spans="1:22" s="11" customFormat="1" x14ac:dyDescent="0.2">
      <c r="A32" s="19" t="s">
        <v>20</v>
      </c>
      <c r="B32" s="19">
        <f>-3.028-C32-D32</f>
        <v>-6.4319999999999995</v>
      </c>
      <c r="C32" s="19">
        <v>4.5599999999999996</v>
      </c>
      <c r="D32" s="19">
        <v>-1.1559999999999999</v>
      </c>
      <c r="E32" s="19">
        <v>4.8890000000000002</v>
      </c>
      <c r="F32" s="19">
        <v>-0.6</v>
      </c>
      <c r="G32" s="19">
        <v>-3.8540000000000001</v>
      </c>
      <c r="H32" s="19">
        <v>2.5339999999999998</v>
      </c>
      <c r="I32" s="19">
        <v>0.11699999999999999</v>
      </c>
      <c r="J32" s="19">
        <v>-0.86699999999999999</v>
      </c>
      <c r="K32" s="19">
        <v>-2.5949999999999998</v>
      </c>
      <c r="L32" s="19">
        <v>-1.9470000000000001</v>
      </c>
      <c r="M32" s="19"/>
      <c r="N32" s="19">
        <v>2.613</v>
      </c>
      <c r="O32" s="19">
        <v>-4.9340000000000002</v>
      </c>
      <c r="P32" s="19">
        <v>-2.6459999999999999</v>
      </c>
      <c r="Q32" s="19"/>
      <c r="R32" s="19"/>
      <c r="S32" s="19"/>
      <c r="T32" s="19"/>
    </row>
    <row r="33" spans="1:25" s="11" customFormat="1" x14ac:dyDescent="0.2">
      <c r="A33" s="19" t="s">
        <v>19</v>
      </c>
      <c r="B33" s="19">
        <v>0</v>
      </c>
      <c r="C33" s="19">
        <v>0</v>
      </c>
      <c r="D33" s="19">
        <v>0</v>
      </c>
      <c r="E33" s="19">
        <v>0</v>
      </c>
      <c r="F33" s="19">
        <v>0</v>
      </c>
      <c r="G33" s="19">
        <v>0</v>
      </c>
      <c r="H33" s="19">
        <v>0</v>
      </c>
      <c r="I33" s="19">
        <v>0</v>
      </c>
      <c r="J33" s="19">
        <v>0</v>
      </c>
      <c r="K33" s="19">
        <v>0</v>
      </c>
      <c r="L33" s="19">
        <v>0</v>
      </c>
      <c r="M33" s="19"/>
      <c r="N33" s="19">
        <v>0</v>
      </c>
      <c r="O33" s="19">
        <v>0</v>
      </c>
      <c r="P33" s="19">
        <v>0</v>
      </c>
      <c r="Q33" s="19"/>
      <c r="R33" s="19"/>
      <c r="S33" s="19"/>
      <c r="T33" s="19"/>
    </row>
    <row r="34" spans="1:25" s="11" customFormat="1" x14ac:dyDescent="0.2">
      <c r="A34" s="19" t="s">
        <v>18</v>
      </c>
      <c r="B34" s="21">
        <v>0</v>
      </c>
      <c r="C34" s="21">
        <v>0</v>
      </c>
      <c r="D34" s="21">
        <v>0</v>
      </c>
      <c r="E34" s="21">
        <v>0</v>
      </c>
      <c r="F34" s="21">
        <v>0</v>
      </c>
      <c r="G34" s="21">
        <v>0</v>
      </c>
      <c r="H34" s="21">
        <v>0</v>
      </c>
      <c r="I34" s="21">
        <v>0</v>
      </c>
      <c r="J34" s="21">
        <v>0</v>
      </c>
      <c r="K34" s="21">
        <v>0</v>
      </c>
      <c r="L34" s="21">
        <v>0</v>
      </c>
      <c r="M34" s="21"/>
      <c r="N34" s="21">
        <v>0</v>
      </c>
      <c r="O34" s="21">
        <v>0</v>
      </c>
      <c r="P34" s="21">
        <v>0</v>
      </c>
      <c r="Q34" s="21"/>
      <c r="R34" s="21"/>
      <c r="S34" s="21"/>
      <c r="T34" s="21"/>
    </row>
    <row r="35" spans="1:25" s="20" customFormat="1" x14ac:dyDescent="0.2">
      <c r="A35" s="20" t="s">
        <v>17</v>
      </c>
      <c r="B35" s="20">
        <f>40.913-C35-D35</f>
        <v>11.210999999999997</v>
      </c>
      <c r="C35" s="20">
        <v>20.875</v>
      </c>
      <c r="D35" s="20">
        <v>8.827</v>
      </c>
      <c r="E35" s="20">
        <v>5.0769999999999911</v>
      </c>
      <c r="F35" s="20">
        <v>15.767000000000003</v>
      </c>
      <c r="G35" s="20">
        <v>13.042999999999994</v>
      </c>
      <c r="H35" s="20">
        <v>30.811000000000003</v>
      </c>
      <c r="I35" s="20">
        <v>20.459000000000003</v>
      </c>
      <c r="J35" s="20">
        <v>7.6660000000000004</v>
      </c>
      <c r="K35" s="20">
        <v>16.137999999999998</v>
      </c>
      <c r="L35" s="20">
        <v>16.46</v>
      </c>
      <c r="N35" s="20">
        <f>SUM(N29:N34)</f>
        <v>3.2890000000000001</v>
      </c>
      <c r="O35" s="20">
        <f>SUM(O29:O34)</f>
        <v>9.575999999999997</v>
      </c>
      <c r="P35" s="20">
        <f>SUM(P29:P34)</f>
        <v>7.2279999999999989</v>
      </c>
    </row>
    <row r="36" spans="1:25" s="11" customFormat="1" x14ac:dyDescent="0.2">
      <c r="A36" s="19" t="s">
        <v>16</v>
      </c>
      <c r="B36" s="21">
        <f>-10.477-59.689-C36-D36</f>
        <v>-26.887</v>
      </c>
      <c r="C36" s="21">
        <v>-34.547999999999995</v>
      </c>
      <c r="D36" s="21">
        <v>-8.7309999999999999</v>
      </c>
      <c r="E36" s="21">
        <v>-13.940000000000005</v>
      </c>
      <c r="F36" s="21">
        <v>-11.191000000000001</v>
      </c>
      <c r="G36" s="21">
        <v>-8.3749999999999982</v>
      </c>
      <c r="H36" s="21">
        <v>-8.2460000000000004</v>
      </c>
      <c r="I36" s="21">
        <v>-14.106999999999996</v>
      </c>
      <c r="J36" s="21">
        <v>-14.935</v>
      </c>
      <c r="K36" s="21">
        <v>-2.8710000000000004</v>
      </c>
      <c r="L36" s="21">
        <v>-10.811</v>
      </c>
      <c r="M36" s="21"/>
      <c r="N36" s="21">
        <f>-18.782/1.34</f>
        <v>-14.01641791044776</v>
      </c>
      <c r="O36" s="21">
        <v>-20.61</v>
      </c>
      <c r="P36" s="21">
        <v>-6.2969999999999997</v>
      </c>
      <c r="Q36" s="21"/>
      <c r="R36" s="21"/>
      <c r="S36" s="21"/>
      <c r="T36" s="21"/>
    </row>
    <row r="37" spans="1:25" s="20" customFormat="1" x14ac:dyDescent="0.2">
      <c r="A37" s="20" t="s">
        <v>15</v>
      </c>
      <c r="B37" s="20">
        <f t="shared" ref="B37:L37" si="16">B35+B36</f>
        <v>-15.676000000000004</v>
      </c>
      <c r="C37" s="20">
        <f t="shared" si="16"/>
        <v>-13.672999999999995</v>
      </c>
      <c r="D37" s="20">
        <f t="shared" si="16"/>
        <v>9.6000000000000085E-2</v>
      </c>
      <c r="E37" s="20">
        <f t="shared" si="16"/>
        <v>-8.8630000000000138</v>
      </c>
      <c r="F37" s="20">
        <f t="shared" si="16"/>
        <v>4.5760000000000023</v>
      </c>
      <c r="G37" s="20">
        <f t="shared" si="16"/>
        <v>4.6679999999999957</v>
      </c>
      <c r="H37" s="20">
        <f t="shared" si="16"/>
        <v>22.565000000000005</v>
      </c>
      <c r="I37" s="20">
        <f t="shared" si="16"/>
        <v>6.3520000000000074</v>
      </c>
      <c r="J37" s="20">
        <f t="shared" si="16"/>
        <v>-7.2690000000000001</v>
      </c>
      <c r="K37" s="20">
        <f t="shared" si="16"/>
        <v>13.266999999999998</v>
      </c>
      <c r="L37" s="20">
        <f t="shared" si="16"/>
        <v>5.6490000000000009</v>
      </c>
      <c r="N37" s="20">
        <f>N35+N36</f>
        <v>-10.727417910447761</v>
      </c>
      <c r="O37" s="20">
        <f>O35+O36</f>
        <v>-11.034000000000002</v>
      </c>
      <c r="P37" s="20">
        <f>P35+P36</f>
        <v>0.93099999999999916</v>
      </c>
    </row>
    <row r="38" spans="1:25" x14ac:dyDescent="0.2">
      <c r="C38" s="11"/>
    </row>
    <row r="39" spans="1:25" s="16" customFormat="1" x14ac:dyDescent="0.2">
      <c r="A39" s="18" t="s">
        <v>14</v>
      </c>
      <c r="B39" s="19">
        <f>20/1.28</f>
        <v>15.625</v>
      </c>
      <c r="C39" s="19">
        <v>0</v>
      </c>
      <c r="D39" s="19">
        <f>70/1.27</f>
        <v>55.118110236220474</v>
      </c>
      <c r="E39" s="19">
        <v>0</v>
      </c>
      <c r="F39" s="19">
        <v>0</v>
      </c>
      <c r="G39" s="19">
        <v>0</v>
      </c>
      <c r="H39" s="19">
        <v>0</v>
      </c>
      <c r="I39" s="19">
        <v>0</v>
      </c>
      <c r="J39" s="19">
        <v>0</v>
      </c>
      <c r="K39" s="19">
        <f t="shared" ref="K39:L42" si="17">L39</f>
        <v>0</v>
      </c>
      <c r="L39" s="19">
        <f t="shared" si="17"/>
        <v>0</v>
      </c>
      <c r="M39" s="19">
        <v>0</v>
      </c>
      <c r="N39" s="19"/>
      <c r="O39" s="19"/>
      <c r="P39" s="19"/>
      <c r="Q39" s="19"/>
      <c r="R39" s="19"/>
      <c r="S39" s="19"/>
      <c r="T39" s="19"/>
      <c r="U39" s="128"/>
    </row>
    <row r="40" spans="1:25" s="16" customFormat="1" x14ac:dyDescent="0.2">
      <c r="A40" s="18" t="s">
        <v>13</v>
      </c>
      <c r="B40" s="19">
        <f>(530.2+11.8+1.2)/1.28</f>
        <v>424.375</v>
      </c>
      <c r="C40" s="19">
        <f>+(531.6+2.1+1.2)/1.26</f>
        <v>424.52380952380958</v>
      </c>
      <c r="D40" s="19">
        <f>(532.9/1.27)+(1.2/1.27)</f>
        <v>420.55118110236219</v>
      </c>
      <c r="E40" s="19">
        <f>E41-(175/1.3247)</f>
        <v>401.59281346720013</v>
      </c>
      <c r="F40" s="19">
        <f>(535.7+1.1)/1.2293</f>
        <v>436.67127633612631</v>
      </c>
      <c r="G40" s="19">
        <f>(537+1.1)/1.3</f>
        <v>413.92307692307691</v>
      </c>
      <c r="H40" s="19">
        <f>(538.4+1.2)/1.337</f>
        <v>403.59012715033663</v>
      </c>
      <c r="I40" s="19">
        <f>(539.7+1.3)/1.35</f>
        <v>400.7407407407407</v>
      </c>
      <c r="J40" s="19">
        <f>(541.093+4.035)/1.304</f>
        <v>418.04294478527601</v>
      </c>
      <c r="K40" s="19">
        <f t="shared" si="17"/>
        <v>406.80473372781063</v>
      </c>
      <c r="L40" s="19">
        <f t="shared" si="17"/>
        <v>406.80473372781063</v>
      </c>
      <c r="M40" s="19">
        <f>(475+70+5)/1.352</f>
        <v>406.80473372781063</v>
      </c>
      <c r="N40" s="19"/>
      <c r="O40" s="19"/>
      <c r="P40" s="19"/>
      <c r="Q40" s="19"/>
      <c r="R40" s="19"/>
      <c r="S40" s="19"/>
      <c r="T40" s="19"/>
    </row>
    <row r="41" spans="1:25" s="16" customFormat="1" x14ac:dyDescent="0.2">
      <c r="A41" s="18" t="s">
        <v>12</v>
      </c>
      <c r="B41" s="19">
        <f>B39+B40+(175/1.28)</f>
        <v>576.71875</v>
      </c>
      <c r="C41" s="19">
        <f>C39+C40+(175/1.26)</f>
        <v>563.41269841269843</v>
      </c>
      <c r="D41" s="19">
        <f>D39+D40+(175/1.27)</f>
        <v>613.46456692913375</v>
      </c>
      <c r="E41" s="19">
        <f>(6.1*E47)+E44</f>
        <v>533.69819581792103</v>
      </c>
      <c r="F41" s="19">
        <f>+F39+F40+175/1.2293</f>
        <v>579.02871552916304</v>
      </c>
      <c r="G41" s="19">
        <f>+G39+G40+175/1.3</f>
        <v>548.53846153846155</v>
      </c>
      <c r="H41" s="19">
        <f>H39+H40+(175/1.337)</f>
        <v>534.48017950635756</v>
      </c>
      <c r="I41" s="19">
        <f>I39+I40+(175/1.35)</f>
        <v>530.37037037037032</v>
      </c>
      <c r="J41" s="19">
        <f>J39+J40+((175+1.443)/1.304)</f>
        <v>553.35199386503064</v>
      </c>
      <c r="K41" s="19">
        <f t="shared" si="17"/>
        <v>536.98224852071007</v>
      </c>
      <c r="L41" s="19">
        <f t="shared" si="17"/>
        <v>536.98224852071007</v>
      </c>
      <c r="M41" s="19">
        <f>M39+M40+(175+1)/1.352</f>
        <v>536.98224852071007</v>
      </c>
      <c r="N41" s="19"/>
      <c r="O41" s="19"/>
      <c r="P41" s="19"/>
      <c r="Q41" s="19"/>
      <c r="R41" s="19"/>
      <c r="S41" s="19"/>
      <c r="T41" s="19"/>
      <c r="U41" s="129"/>
    </row>
    <row r="42" spans="1:25" s="16" customFormat="1" x14ac:dyDescent="0.2">
      <c r="A42" s="18" t="s">
        <v>11</v>
      </c>
      <c r="B42" s="17">
        <f t="shared" ref="B42:J42" si="18">C42</f>
        <v>471.15384615384613</v>
      </c>
      <c r="C42" s="17">
        <f t="shared" si="18"/>
        <v>471.15384615384613</v>
      </c>
      <c r="D42" s="17">
        <f t="shared" si="18"/>
        <v>471.15384615384613</v>
      </c>
      <c r="E42" s="17">
        <f t="shared" si="18"/>
        <v>471.15384615384613</v>
      </c>
      <c r="F42" s="17">
        <f t="shared" si="18"/>
        <v>471.15384615384613</v>
      </c>
      <c r="G42" s="17">
        <f t="shared" si="18"/>
        <v>471.15384615384613</v>
      </c>
      <c r="H42" s="17">
        <f t="shared" si="18"/>
        <v>471.15384615384613</v>
      </c>
      <c r="I42" s="17">
        <f t="shared" si="18"/>
        <v>471.15384615384613</v>
      </c>
      <c r="J42" s="17">
        <f t="shared" si="18"/>
        <v>471.15384615384613</v>
      </c>
      <c r="K42" s="17">
        <f t="shared" si="17"/>
        <v>471.15384615384613</v>
      </c>
      <c r="L42" s="17">
        <f t="shared" si="17"/>
        <v>471.15384615384613</v>
      </c>
      <c r="M42" s="17">
        <f>637/1.352</f>
        <v>471.15384615384613</v>
      </c>
      <c r="N42" s="17"/>
      <c r="O42" s="17"/>
      <c r="P42" s="17"/>
      <c r="Q42" s="17"/>
      <c r="R42" s="17"/>
      <c r="S42" s="17"/>
      <c r="T42" s="17"/>
      <c r="V42" s="56"/>
    </row>
    <row r="43" spans="1:25" x14ac:dyDescent="0.2">
      <c r="B43" s="11"/>
      <c r="C43" s="11"/>
      <c r="D43" s="11"/>
      <c r="E43" s="11"/>
      <c r="F43" s="11"/>
      <c r="G43" s="16"/>
      <c r="H43" s="16"/>
      <c r="I43" s="16"/>
      <c r="J43" s="16"/>
      <c r="K43" s="16"/>
      <c r="L43" s="16"/>
      <c r="M43" s="16"/>
      <c r="N43" s="16"/>
      <c r="O43" s="16"/>
      <c r="V43" s="11"/>
    </row>
    <row r="44" spans="1:25" x14ac:dyDescent="0.2">
      <c r="A44" s="15" t="s">
        <v>10</v>
      </c>
      <c r="B44" s="14">
        <v>41.670999999999999</v>
      </c>
      <c r="C44" s="14">
        <f>83.7/1.26</f>
        <v>66.428571428571431</v>
      </c>
      <c r="D44" s="14">
        <v>141.36199999999999</v>
      </c>
      <c r="E44" s="14">
        <f>48.8/1.3247</f>
        <v>36.838529478372458</v>
      </c>
      <c r="F44" s="14">
        <f>35.6/1.2293</f>
        <v>28.959570487269179</v>
      </c>
      <c r="G44" s="14">
        <v>35.825000000000003</v>
      </c>
      <c r="H44" s="14">
        <v>46.210999999999999</v>
      </c>
      <c r="I44" s="14">
        <v>32.411999999999999</v>
      </c>
      <c r="J44" s="14">
        <f>20.97/1.304</f>
        <v>16.081288343558281</v>
      </c>
      <c r="K44" s="14">
        <v>15.958</v>
      </c>
      <c r="L44" s="14">
        <v>12.221</v>
      </c>
      <c r="M44" s="14">
        <f>15/1.352</f>
        <v>11.094674556213016</v>
      </c>
      <c r="N44" s="14"/>
      <c r="O44" s="14"/>
      <c r="P44" s="14"/>
      <c r="Q44" s="14"/>
      <c r="R44" s="14"/>
      <c r="S44" s="14"/>
      <c r="T44" s="14"/>
    </row>
    <row r="45" spans="1:25" x14ac:dyDescent="0.2">
      <c r="X45" s="20"/>
      <c r="Y45" s="20"/>
    </row>
    <row r="46" spans="1:25" x14ac:dyDescent="0.2">
      <c r="A46" s="1" t="s">
        <v>9</v>
      </c>
      <c r="B46" s="11">
        <f t="shared" ref="B46:M46" si="19">SUM(B12:E12)</f>
        <v>266.02699999999993</v>
      </c>
      <c r="C46" s="11">
        <f t="shared" si="19"/>
        <v>260.52099999999996</v>
      </c>
      <c r="D46" s="11">
        <f t="shared" si="19"/>
        <v>261.60299999999995</v>
      </c>
      <c r="E46" s="11">
        <f t="shared" si="19"/>
        <v>262.85199999999992</v>
      </c>
      <c r="F46" s="11">
        <f t="shared" si="19"/>
        <v>256.04000000000002</v>
      </c>
      <c r="G46" s="11">
        <f t="shared" si="19"/>
        <v>246.636</v>
      </c>
      <c r="H46" s="11">
        <f t="shared" si="19"/>
        <v>248.82500000000002</v>
      </c>
      <c r="I46" s="11">
        <f t="shared" si="19"/>
        <v>244.483</v>
      </c>
      <c r="J46" s="11">
        <f t="shared" si="19"/>
        <v>249.29100000000003</v>
      </c>
      <c r="K46" s="11">
        <f t="shared" si="19"/>
        <v>237.87400000000002</v>
      </c>
      <c r="L46" s="11">
        <f t="shared" si="19"/>
        <v>216.77</v>
      </c>
      <c r="M46" s="11">
        <f t="shared" si="19"/>
        <v>205.971</v>
      </c>
      <c r="N46" s="11"/>
      <c r="O46" s="11"/>
      <c r="P46" s="11"/>
      <c r="Q46" s="11"/>
      <c r="X46" s="70"/>
    </row>
    <row r="47" spans="1:25" x14ac:dyDescent="0.2">
      <c r="A47" s="1" t="s">
        <v>8</v>
      </c>
      <c r="B47" s="13">
        <f t="shared" ref="B47:C47" si="20">B27</f>
        <v>74.53125</v>
      </c>
      <c r="C47" s="13">
        <f t="shared" si="20"/>
        <v>74.206349206349202</v>
      </c>
      <c r="D47" s="13">
        <f t="shared" ref="D47:G47" si="21">D27</f>
        <v>72.913385826771645</v>
      </c>
      <c r="E47" s="13">
        <f t="shared" si="21"/>
        <v>81.452404317958795</v>
      </c>
      <c r="F47" s="13">
        <f t="shared" si="21"/>
        <v>88.749694948344583</v>
      </c>
      <c r="G47" s="13">
        <f t="shared" si="21"/>
        <v>82.962814814814806</v>
      </c>
      <c r="H47" s="13">
        <f t="shared" ref="H47:M47" si="22">H27</f>
        <v>86.376814814814807</v>
      </c>
      <c r="I47" s="13">
        <f t="shared" si="22"/>
        <v>88.81481481481481</v>
      </c>
      <c r="J47" s="13">
        <f t="shared" si="22"/>
        <v>98.23619631901839</v>
      </c>
      <c r="K47" s="13">
        <f t="shared" si="22"/>
        <v>96.042999999999992</v>
      </c>
      <c r="L47" s="13">
        <f t="shared" si="22"/>
        <v>94.341224852071008</v>
      </c>
      <c r="M47" s="13">
        <f t="shared" si="22"/>
        <v>91.198224852070993</v>
      </c>
      <c r="N47" s="11"/>
      <c r="O47" s="11"/>
      <c r="P47" s="11"/>
      <c r="Q47" s="11"/>
      <c r="X47" s="70"/>
    </row>
    <row r="48" spans="1:25" x14ac:dyDescent="0.2">
      <c r="A48" s="1" t="s">
        <v>7</v>
      </c>
      <c r="B48" s="13">
        <f t="shared" ref="B48:I48" si="23">SUM(B37:E37)</f>
        <v>-38.116000000000014</v>
      </c>
      <c r="C48" s="13">
        <f t="shared" si="23"/>
        <v>-17.864000000000004</v>
      </c>
      <c r="D48" s="13">
        <f t="shared" si="23"/>
        <v>0.47699999999998433</v>
      </c>
      <c r="E48" s="13">
        <f t="shared" si="23"/>
        <v>22.945999999999991</v>
      </c>
      <c r="F48" s="13">
        <f t="shared" si="23"/>
        <v>38.161000000000016</v>
      </c>
      <c r="G48" s="13">
        <f t="shared" si="23"/>
        <v>26.31600000000001</v>
      </c>
      <c r="H48" s="13">
        <f t="shared" si="23"/>
        <v>34.915000000000006</v>
      </c>
      <c r="I48" s="13">
        <f t="shared" si="23"/>
        <v>17.999000000000006</v>
      </c>
      <c r="J48" s="13">
        <f>K48+J37-N37</f>
        <v>57.625346904530602</v>
      </c>
      <c r="K48" s="13">
        <f>L48+K37-O37</f>
        <v>54.166928994082838</v>
      </c>
      <c r="L48" s="13">
        <f>M48+L37-P37</f>
        <v>29.865928994082843</v>
      </c>
      <c r="M48" s="12">
        <f>34/1.352</f>
        <v>25.147928994082839</v>
      </c>
      <c r="N48" s="11"/>
      <c r="O48" s="11"/>
      <c r="P48" s="11"/>
      <c r="Q48" s="11"/>
    </row>
    <row r="50" spans="1:20" s="10" customFormat="1" x14ac:dyDescent="0.2">
      <c r="A50" s="10" t="s">
        <v>6</v>
      </c>
      <c r="B50" s="10">
        <f t="shared" ref="B50:C50" si="24">+SUM(B39:B40)/B47</f>
        <v>5.9035639412997902</v>
      </c>
      <c r="C50" s="10">
        <f t="shared" si="24"/>
        <v>5.7208556149732628</v>
      </c>
      <c r="D50" s="10">
        <f t="shared" ref="D50:E50" si="25">+SUM(D39:D40)/D47</f>
        <v>6.5237580993520519</v>
      </c>
      <c r="E50" s="10">
        <f t="shared" si="25"/>
        <v>4.9303985171455045</v>
      </c>
      <c r="F50" s="10">
        <f t="shared" ref="F50:G50" si="26">+SUM(F39:F40)/F47</f>
        <v>4.9202566452795606</v>
      </c>
      <c r="G50" s="10">
        <f t="shared" si="26"/>
        <v>4.9892602830197363</v>
      </c>
      <c r="H50" s="10">
        <f t="shared" ref="H50:M50" si="27">+SUM(H39:H40)/H47</f>
        <v>4.6724358615862664</v>
      </c>
      <c r="I50" s="10">
        <f t="shared" si="27"/>
        <v>4.5120934111759796</v>
      </c>
      <c r="J50" s="10">
        <f t="shared" si="27"/>
        <v>4.2554879000780641</v>
      </c>
      <c r="K50" s="10">
        <f t="shared" si="27"/>
        <v>4.2356520904991584</v>
      </c>
      <c r="L50" s="10">
        <f t="shared" si="27"/>
        <v>4.3120569439891083</v>
      </c>
      <c r="M50" s="10">
        <f t="shared" si="27"/>
        <v>4.4606650446066505</v>
      </c>
    </row>
    <row r="51" spans="1:20" s="10" customFormat="1" x14ac:dyDescent="0.2">
      <c r="A51" s="10" t="s">
        <v>5</v>
      </c>
      <c r="B51" s="10">
        <f t="shared" ref="B51:C51" si="28">+B41/B47</f>
        <v>7.7379454926624742</v>
      </c>
      <c r="C51" s="10">
        <f t="shared" si="28"/>
        <v>7.5925133689839583</v>
      </c>
      <c r="D51" s="10">
        <f t="shared" ref="D51:E51" si="29">+D41/D47</f>
        <v>8.4136069114470846</v>
      </c>
      <c r="E51" s="10">
        <f t="shared" si="29"/>
        <v>6.5522706209453183</v>
      </c>
      <c r="F51" s="10">
        <f t="shared" ref="F51:G51" si="30">+F41/F47</f>
        <v>6.5242896425297907</v>
      </c>
      <c r="G51" s="10">
        <f t="shared" si="30"/>
        <v>6.6118593343641967</v>
      </c>
      <c r="H51" s="10">
        <f t="shared" ref="H51:M51" si="31">+H41/H47</f>
        <v>6.1877736595432653</v>
      </c>
      <c r="I51" s="10">
        <f t="shared" si="31"/>
        <v>5.9716430358632193</v>
      </c>
      <c r="J51" s="10">
        <f t="shared" si="31"/>
        <v>5.6328727556596414</v>
      </c>
      <c r="K51" s="10">
        <f t="shared" si="31"/>
        <v>5.5910607594588893</v>
      </c>
      <c r="L51" s="10">
        <f t="shared" si="31"/>
        <v>5.6919151660656233</v>
      </c>
      <c r="M51" s="10">
        <f t="shared" si="31"/>
        <v>5.8880778588807798</v>
      </c>
    </row>
    <row r="52" spans="1:20" s="10" customFormat="1" x14ac:dyDescent="0.2">
      <c r="A52" s="10" t="s">
        <v>4</v>
      </c>
      <c r="B52" s="10">
        <f t="shared" ref="B52:C52" si="32">+(B41-B44)/B47</f>
        <v>7.178837735849056</v>
      </c>
      <c r="C52" s="10">
        <f t="shared" si="32"/>
        <v>6.697326203208557</v>
      </c>
      <c r="D52" s="10">
        <f t="shared" ref="D52:E52" si="33">+(D41-D44)/D47</f>
        <v>6.4748408207343413</v>
      </c>
      <c r="E52" s="10">
        <f t="shared" si="33"/>
        <v>6.1</v>
      </c>
      <c r="F52" s="10">
        <f t="shared" ref="F52:G52" si="34">+(F41-F44)/F47</f>
        <v>6.1979835013748872</v>
      </c>
      <c r="G52" s="10">
        <f t="shared" si="34"/>
        <v>6.1800393668285398</v>
      </c>
      <c r="H52" s="10">
        <f t="shared" ref="H52:M52" si="35">+(H41-H44)/H47</f>
        <v>5.6527805586854392</v>
      </c>
      <c r="I52" s="10">
        <f t="shared" si="35"/>
        <v>5.6067039199332775</v>
      </c>
      <c r="J52" s="10">
        <f t="shared" si="35"/>
        <v>5.4691725214676037</v>
      </c>
      <c r="K52" s="10">
        <f t="shared" si="35"/>
        <v>5.4249060162709428</v>
      </c>
      <c r="L52" s="10">
        <f t="shared" si="35"/>
        <v>5.5623747661061911</v>
      </c>
      <c r="M52" s="10">
        <f t="shared" si="35"/>
        <v>5.7664233576642348</v>
      </c>
    </row>
    <row r="53" spans="1:20" s="6" customFormat="1" x14ac:dyDescent="0.2">
      <c r="A53" s="6" t="s">
        <v>3</v>
      </c>
      <c r="B53" s="6">
        <f t="shared" ref="B53:C53" si="36">+B48/B41</f>
        <v>-6.6091140612300217E-2</v>
      </c>
      <c r="C53" s="6">
        <f t="shared" si="36"/>
        <v>-3.17067756021975E-2</v>
      </c>
      <c r="D53" s="6">
        <f t="shared" ref="D53:E53" si="37">+D48/D41</f>
        <v>7.7755102040813788E-4</v>
      </c>
      <c r="E53" s="6">
        <f t="shared" si="37"/>
        <v>4.2994336836447461E-2</v>
      </c>
      <c r="F53" s="6">
        <f t="shared" ref="F53:G53" si="38">+F48/F41</f>
        <v>6.5905194296150618E-2</v>
      </c>
      <c r="G53" s="6">
        <f t="shared" si="38"/>
        <v>4.7974758098443433E-2</v>
      </c>
      <c r="H53" s="6">
        <f t="shared" ref="H53:M53" si="39">+H48/H41</f>
        <v>6.5325153932269814E-2</v>
      </c>
      <c r="I53" s="6">
        <f t="shared" si="39"/>
        <v>3.3936662011173201E-2</v>
      </c>
      <c r="J53" s="6">
        <f t="shared" si="39"/>
        <v>0.10413868124343677</v>
      </c>
      <c r="K53" s="6">
        <f t="shared" si="39"/>
        <v>0.10087284848484848</v>
      </c>
      <c r="L53" s="6">
        <f t="shared" si="39"/>
        <v>5.561809366391185E-2</v>
      </c>
      <c r="M53" s="6">
        <f t="shared" si="39"/>
        <v>4.6831955922865008E-2</v>
      </c>
    </row>
    <row r="54" spans="1:20" s="6" customFormat="1" x14ac:dyDescent="0.2">
      <c r="A54" s="8" t="s">
        <v>2</v>
      </c>
      <c r="B54" s="9"/>
      <c r="C54" s="9"/>
      <c r="D54" s="9"/>
      <c r="E54" s="9"/>
      <c r="F54" s="9"/>
      <c r="G54" s="9"/>
      <c r="H54" s="9"/>
      <c r="I54" s="9"/>
      <c r="J54" s="9"/>
      <c r="K54" s="9"/>
      <c r="L54" s="9"/>
      <c r="M54" s="9"/>
      <c r="N54" s="9"/>
      <c r="O54" s="9"/>
      <c r="P54" s="9"/>
      <c r="Q54" s="9"/>
      <c r="R54" s="8"/>
      <c r="S54" s="8"/>
      <c r="T54" s="8"/>
    </row>
    <row r="55" spans="1:20" s="6" customFormat="1" x14ac:dyDescent="0.2">
      <c r="A55" s="6" t="s">
        <v>1</v>
      </c>
      <c r="B55" s="7">
        <f t="shared" ref="B55:C55" si="40">IF(B42=0,IF(B54="","","*"&amp;TEXT(B54,"0.0x")),(B41+B42-B44)/B47)</f>
        <v>13.500398774391227</v>
      </c>
      <c r="C55" s="7">
        <f t="shared" si="40"/>
        <v>13.046565199506375</v>
      </c>
      <c r="D55" s="7">
        <f t="shared" ref="D55:E55" si="41">IF(D42=0,IF(D54="","","*"&amp;TEXT(D54,"0.0x")),(D41+D42-D44)/D47)</f>
        <v>12.936670028243896</v>
      </c>
      <c r="E55" s="7">
        <f t="shared" si="41"/>
        <v>11.884406858202038</v>
      </c>
      <c r="F55" s="7">
        <f t="shared" ref="F55:G55" si="42">IF(F42=0,IF(F54="","","*"&amp;TEXT(F54,"0.0x")),(F41+F42-F44)/F47)</f>
        <v>11.506777480081791</v>
      </c>
      <c r="G55" s="7">
        <f t="shared" si="42"/>
        <v>11.859136046534148</v>
      </c>
      <c r="H55" s="7">
        <f t="shared" ref="H55:I55" si="43">IF(H42=0,IF(H54="","","*"&amp;TEXT(H54,"0.0x")),(H41+H42-H44)/H47)</f>
        <v>11.107413809100651</v>
      </c>
      <c r="I55" s="7">
        <f t="shared" si="43"/>
        <v>10.911605440431128</v>
      </c>
      <c r="J55" s="7">
        <f t="shared" ref="J55:Q55" si="44">IF(J42=0,IF(J54="","","*"&amp;TEXT(J54,"0.0x")),(J41+J42-J44)/J47)</f>
        <v>10.265305350387319</v>
      </c>
      <c r="K55" s="7">
        <f t="shared" si="44"/>
        <v>10.330561255630878</v>
      </c>
      <c r="L55" s="7">
        <f t="shared" si="44"/>
        <v>10.556520717599032</v>
      </c>
      <c r="M55" s="7">
        <f t="shared" si="44"/>
        <v>10.932684509326847</v>
      </c>
      <c r="N55" s="7" t="str">
        <f t="shared" si="44"/>
        <v/>
      </c>
      <c r="O55" s="7" t="str">
        <f t="shared" si="44"/>
        <v/>
      </c>
      <c r="P55" s="7" t="str">
        <f t="shared" si="44"/>
        <v/>
      </c>
      <c r="Q55" s="7" t="str">
        <f t="shared" si="44"/>
        <v/>
      </c>
      <c r="R55" s="7" t="str">
        <f>IF(R42=0,IF(R54="","",CONCATENATE("* ",R54,"x")),(R41+R42-R44)/R47)</f>
        <v/>
      </c>
      <c r="S55" s="7" t="str">
        <f>IF(S42=0,IF(S54="","",CONCATENATE("* ",S54,"x")),(S41+S42-S44)/S47)</f>
        <v/>
      </c>
      <c r="T55" s="7" t="str">
        <f>IF(T42=0,IF(T54="","",CONCATENATE("* ",T54,"x")),(T41+T42-T44)/T47)</f>
        <v/>
      </c>
    </row>
    <row r="56" spans="1:20" x14ac:dyDescent="0.2">
      <c r="Q56" s="3"/>
    </row>
    <row r="57" spans="1:20" ht="80.25" customHeight="1" x14ac:dyDescent="0.2">
      <c r="A57" s="5" t="s">
        <v>0</v>
      </c>
      <c r="B57" s="4" t="s">
        <v>368</v>
      </c>
      <c r="C57" s="4" t="s">
        <v>368</v>
      </c>
      <c r="D57" s="4" t="s">
        <v>368</v>
      </c>
      <c r="E57" s="4" t="s">
        <v>368</v>
      </c>
      <c r="F57" s="4" t="s">
        <v>141</v>
      </c>
      <c r="G57" s="4" t="s">
        <v>141</v>
      </c>
      <c r="H57" s="4" t="s">
        <v>368</v>
      </c>
      <c r="I57" s="4" t="s">
        <v>141</v>
      </c>
      <c r="J57" s="4" t="s">
        <v>141</v>
      </c>
      <c r="K57" s="4" t="s">
        <v>141</v>
      </c>
      <c r="L57" s="4" t="s">
        <v>141</v>
      </c>
      <c r="M57" s="4" t="s">
        <v>140</v>
      </c>
      <c r="N57" s="4"/>
      <c r="O57" s="4"/>
      <c r="P57" s="4"/>
      <c r="Q57" s="4"/>
      <c r="R57" s="4"/>
      <c r="S57" s="4"/>
      <c r="T57" s="4"/>
    </row>
    <row r="58" spans="1:20" x14ac:dyDescent="0.2">
      <c r="A58" s="2"/>
      <c r="B58" s="3"/>
      <c r="C58" s="3"/>
      <c r="D58" s="3"/>
      <c r="E58" s="3"/>
      <c r="F58" s="3"/>
      <c r="G58" s="3"/>
      <c r="H58" s="3"/>
      <c r="I58" s="3"/>
      <c r="J58" s="3"/>
      <c r="K58" s="3"/>
      <c r="L58" s="3"/>
      <c r="M58" s="3"/>
    </row>
    <row r="59" spans="1:20" x14ac:dyDescent="0.2">
      <c r="A59"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59"/>
  <sheetViews>
    <sheetView showGridLines="0" zoomScaleNormal="100" workbookViewId="0">
      <pane xSplit="1" ySplit="10" topLeftCell="B11" activePane="bottomRight" state="frozen"/>
      <selection activeCell="M45" sqref="M45"/>
      <selection pane="topRight" activeCell="M45" sqref="M45"/>
      <selection pane="bottomLeft" activeCell="M45" sqref="M45"/>
      <selection pane="bottomRight" activeCell="B11" sqref="B11"/>
    </sheetView>
  </sheetViews>
  <sheetFormatPr defaultRowHeight="12.75" x14ac:dyDescent="0.2"/>
  <cols>
    <col min="1" max="1" width="22.7109375" style="1" customWidth="1"/>
    <col min="2" max="23" width="10.7109375" style="1" customWidth="1"/>
    <col min="24" max="16384" width="9.140625" style="1"/>
  </cols>
  <sheetData>
    <row r="2" spans="1:23" x14ac:dyDescent="0.2">
      <c r="A2" s="34" t="s">
        <v>45</v>
      </c>
      <c r="B2" s="1" t="s">
        <v>152</v>
      </c>
    </row>
    <row r="3" spans="1:23" s="35" customFormat="1" x14ac:dyDescent="0.2">
      <c r="A3" s="36" t="s">
        <v>43</v>
      </c>
      <c r="B3" s="35" t="s">
        <v>151</v>
      </c>
    </row>
    <row r="4" spans="1:23" x14ac:dyDescent="0.2">
      <c r="A4" s="34" t="s">
        <v>41</v>
      </c>
      <c r="B4" s="1" t="s">
        <v>40</v>
      </c>
    </row>
    <row r="5" spans="1:23" x14ac:dyDescent="0.2">
      <c r="A5" s="34" t="s">
        <v>39</v>
      </c>
    </row>
    <row r="6" spans="1:23" x14ac:dyDescent="0.2">
      <c r="A6" s="34" t="s">
        <v>38</v>
      </c>
      <c r="B6" s="1">
        <v>3</v>
      </c>
    </row>
    <row r="7" spans="1:23" x14ac:dyDescent="0.2">
      <c r="A7" s="34" t="s">
        <v>37</v>
      </c>
      <c r="B7" s="1" t="s">
        <v>373</v>
      </c>
    </row>
    <row r="8" spans="1:23" x14ac:dyDescent="0.2">
      <c r="A8" s="34" t="s">
        <v>281</v>
      </c>
      <c r="B8" s="1" t="s">
        <v>284</v>
      </c>
    </row>
    <row r="9" spans="1:23" x14ac:dyDescent="0.2">
      <c r="A9" s="22"/>
    </row>
    <row r="10" spans="1:23"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v>43008</v>
      </c>
      <c r="Q10" s="33">
        <f t="shared" ref="Q10:W10" si="0">EOMONTH(P10,-3)</f>
        <v>42916</v>
      </c>
      <c r="R10" s="33">
        <f t="shared" si="0"/>
        <v>42825</v>
      </c>
      <c r="S10" s="33">
        <f t="shared" si="0"/>
        <v>42735</v>
      </c>
      <c r="T10" s="33">
        <f t="shared" si="0"/>
        <v>42643</v>
      </c>
      <c r="U10" s="33">
        <f t="shared" si="0"/>
        <v>42551</v>
      </c>
      <c r="V10" s="33">
        <f t="shared" si="0"/>
        <v>42460</v>
      </c>
      <c r="W10" s="33">
        <f t="shared" si="0"/>
        <v>42369</v>
      </c>
    </row>
    <row r="12" spans="1:23" x14ac:dyDescent="0.2">
      <c r="A12" s="15" t="s">
        <v>35</v>
      </c>
      <c r="B12" s="19">
        <v>258.83100000000002</v>
      </c>
      <c r="C12" s="19"/>
      <c r="D12" s="19"/>
      <c r="E12" s="19">
        <v>227.39099999999999</v>
      </c>
      <c r="F12" s="19">
        <v>229.04599999999999</v>
      </c>
      <c r="G12" s="19">
        <v>187.79900000000004</v>
      </c>
      <c r="H12" s="19">
        <v>200.58600000000001</v>
      </c>
      <c r="I12" s="19">
        <v>192.732</v>
      </c>
      <c r="J12" s="19">
        <v>190.19</v>
      </c>
      <c r="K12" s="19">
        <v>167.5329999999999</v>
      </c>
      <c r="L12" s="19">
        <v>177.798</v>
      </c>
      <c r="M12" s="19">
        <v>171.92500000000001</v>
      </c>
      <c r="N12" s="19">
        <v>175.648</v>
      </c>
      <c r="O12" s="19">
        <f>634.995-P12-Q12-R12</f>
        <v>150.994</v>
      </c>
      <c r="P12" s="19">
        <v>165.703</v>
      </c>
      <c r="Q12" s="19">
        <v>157.917</v>
      </c>
      <c r="R12" s="19">
        <v>160.381</v>
      </c>
      <c r="S12" s="19">
        <v>145.25700000000003</v>
      </c>
      <c r="T12" s="19">
        <v>157.453</v>
      </c>
      <c r="U12" s="19">
        <v>150.34</v>
      </c>
      <c r="V12" s="19">
        <v>156.929</v>
      </c>
      <c r="W12" s="19">
        <v>133.55099999999993</v>
      </c>
    </row>
    <row r="13" spans="1:23" s="28" customFormat="1" x14ac:dyDescent="0.2">
      <c r="A13" s="28" t="s">
        <v>34</v>
      </c>
      <c r="B13" s="28">
        <f t="shared" ref="B13" si="1">+B12/F12-1</f>
        <v>0.13003938073574761</v>
      </c>
      <c r="E13" s="28">
        <f t="shared" ref="E13:S13" si="2">+E12/I12-1</f>
        <v>0.17983002303717077</v>
      </c>
      <c r="F13" s="28">
        <f t="shared" si="2"/>
        <v>0.20430096219569904</v>
      </c>
      <c r="G13" s="28">
        <f t="shared" si="2"/>
        <v>0.12096721242979092</v>
      </c>
      <c r="H13" s="28">
        <f t="shared" si="2"/>
        <v>0.12816792089899787</v>
      </c>
      <c r="I13" s="28">
        <f t="shared" si="2"/>
        <v>0.12102370219572478</v>
      </c>
      <c r="J13" s="28">
        <f t="shared" si="2"/>
        <v>8.2790581162324628E-2</v>
      </c>
      <c r="K13" s="28">
        <f t="shared" si="2"/>
        <v>0.10953415367497987</v>
      </c>
      <c r="L13" s="28">
        <f t="shared" si="2"/>
        <v>7.2992039975136258E-2</v>
      </c>
      <c r="M13" s="28">
        <f t="shared" si="2"/>
        <v>8.8704825952873989E-2</v>
      </c>
      <c r="N13" s="28">
        <f t="shared" si="2"/>
        <v>9.5192073874087235E-2</v>
      </c>
      <c r="O13" s="28">
        <f t="shared" si="2"/>
        <v>3.9495514846100033E-2</v>
      </c>
      <c r="P13" s="28">
        <f t="shared" si="2"/>
        <v>5.2396588188221349E-2</v>
      </c>
      <c r="Q13" s="28">
        <f t="shared" si="2"/>
        <v>5.0399095383796721E-2</v>
      </c>
      <c r="R13" s="28">
        <f t="shared" si="2"/>
        <v>2.1997208928878687E-2</v>
      </c>
      <c r="S13" s="28">
        <f t="shared" si="2"/>
        <v>8.7651908259766653E-2</v>
      </c>
    </row>
    <row r="14" spans="1:23" s="23" customFormat="1" x14ac:dyDescent="0.2">
      <c r="A14" s="31" t="s">
        <v>33</v>
      </c>
      <c r="B14" s="32" t="s">
        <v>32</v>
      </c>
      <c r="C14" s="32"/>
      <c r="D14" s="32"/>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1"/>
      <c r="U14" s="31"/>
      <c r="V14" s="31"/>
      <c r="W14" s="31"/>
    </row>
    <row r="16" spans="1:23" s="22" customFormat="1" x14ac:dyDescent="0.2">
      <c r="A16" s="30" t="s">
        <v>31</v>
      </c>
      <c r="B16" s="29">
        <f t="shared" ref="B16" si="3">B22-B21-B20-B19</f>
        <v>35.006000000000029</v>
      </c>
      <c r="C16" s="29"/>
      <c r="D16" s="29"/>
      <c r="E16" s="29">
        <f t="shared" ref="E16:O16" si="4">E22-E21-E20-E19</f>
        <v>15.160999999999991</v>
      </c>
      <c r="F16" s="29">
        <f t="shared" si="4"/>
        <v>25.329999999999991</v>
      </c>
      <c r="G16" s="29">
        <f t="shared" si="4"/>
        <v>24.524999999999988</v>
      </c>
      <c r="H16" s="29">
        <f t="shared" si="4"/>
        <v>32.034999999999989</v>
      </c>
      <c r="I16" s="29">
        <f t="shared" si="4"/>
        <v>26.116</v>
      </c>
      <c r="J16" s="29">
        <f t="shared" si="4"/>
        <v>25.810000000000002</v>
      </c>
      <c r="K16" s="29">
        <f t="shared" si="4"/>
        <v>23.137</v>
      </c>
      <c r="L16" s="29">
        <f t="shared" si="4"/>
        <v>27.716999999999999</v>
      </c>
      <c r="M16" s="29">
        <f t="shared" si="4"/>
        <v>30.242999999999999</v>
      </c>
      <c r="N16" s="29">
        <f t="shared" si="4"/>
        <v>28.413000000000004</v>
      </c>
      <c r="O16" s="29">
        <f t="shared" si="4"/>
        <v>25.148</v>
      </c>
      <c r="P16" s="29">
        <v>24.561000000000018</v>
      </c>
      <c r="Q16" s="29">
        <v>14.289999999999983</v>
      </c>
      <c r="R16" s="29">
        <v>15.154999999999999</v>
      </c>
      <c r="S16" s="29">
        <v>17.854000000000031</v>
      </c>
      <c r="T16" s="29">
        <v>23.768000000000008</v>
      </c>
      <c r="U16" s="29">
        <v>23.263999999999996</v>
      </c>
      <c r="V16" s="29">
        <v>13.477000000000007</v>
      </c>
      <c r="W16" s="29">
        <v>21.966999999999949</v>
      </c>
    </row>
    <row r="17" spans="1:23" s="28" customFormat="1" x14ac:dyDescent="0.2">
      <c r="A17" s="28" t="s">
        <v>30</v>
      </c>
      <c r="B17" s="28">
        <f t="shared" ref="B17" si="5">+B16/B12</f>
        <v>0.13524655083819181</v>
      </c>
      <c r="E17" s="28">
        <f t="shared" ref="E17" si="6">+E16/E12</f>
        <v>6.6673703004956189E-2</v>
      </c>
      <c r="F17" s="28">
        <f t="shared" ref="F17:W17" si="7">+F16/F12</f>
        <v>0.11058913929952932</v>
      </c>
      <c r="G17" s="28">
        <f t="shared" si="7"/>
        <v>0.13059174968982787</v>
      </c>
      <c r="H17" s="28">
        <f t="shared" si="7"/>
        <v>0.15970705831912491</v>
      </c>
      <c r="I17" s="28">
        <f t="shared" si="7"/>
        <v>0.13550422348131083</v>
      </c>
      <c r="J17" s="28">
        <f t="shared" si="7"/>
        <v>0.13570639886429361</v>
      </c>
      <c r="K17" s="28">
        <f t="shared" si="7"/>
        <v>0.13810413470778898</v>
      </c>
      <c r="L17" s="28">
        <f t="shared" si="7"/>
        <v>0.15589039246785677</v>
      </c>
      <c r="M17" s="28">
        <f t="shared" si="7"/>
        <v>0.17590809946197467</v>
      </c>
      <c r="N17" s="28">
        <f t="shared" si="7"/>
        <v>0.16176102204408821</v>
      </c>
      <c r="O17" s="28">
        <f t="shared" si="7"/>
        <v>0.16654966422506853</v>
      </c>
      <c r="P17" s="28">
        <f t="shared" si="7"/>
        <v>0.14822302553363559</v>
      </c>
      <c r="Q17" s="28">
        <f t="shared" si="7"/>
        <v>9.0490574162376325E-2</v>
      </c>
      <c r="R17" s="28">
        <f t="shared" si="7"/>
        <v>9.4493736789270547E-2</v>
      </c>
      <c r="S17" s="28">
        <f t="shared" si="7"/>
        <v>0.12291318146457676</v>
      </c>
      <c r="T17" s="28">
        <f t="shared" si="7"/>
        <v>0.15095298279486583</v>
      </c>
      <c r="U17" s="28">
        <f t="shared" si="7"/>
        <v>0.15474258347745107</v>
      </c>
      <c r="V17" s="28">
        <f t="shared" si="7"/>
        <v>8.5879601603272862E-2</v>
      </c>
      <c r="W17" s="28">
        <f t="shared" si="7"/>
        <v>0.16448397990280836</v>
      </c>
    </row>
    <row r="18" spans="1:23" s="23" customFormat="1" x14ac:dyDescent="0.2"/>
    <row r="19" spans="1:23" s="23" customFormat="1" x14ac:dyDescent="0.2">
      <c r="A19" s="15" t="s">
        <v>29</v>
      </c>
      <c r="B19" s="19">
        <v>0</v>
      </c>
      <c r="C19" s="19"/>
      <c r="D19" s="19"/>
      <c r="E19" s="19">
        <v>0</v>
      </c>
      <c r="F19" s="19">
        <v>0</v>
      </c>
      <c r="G19" s="19">
        <v>-0.21199999999999997</v>
      </c>
      <c r="H19" s="19">
        <v>7.1999999999999995E-2</v>
      </c>
      <c r="I19" s="19">
        <v>8.7999999999999995E-2</v>
      </c>
      <c r="J19" s="19">
        <v>5.1999999999999998E-2</v>
      </c>
      <c r="K19" s="19">
        <v>7.0000000000000007E-2</v>
      </c>
      <c r="L19" s="19">
        <v>7.0999999999999994E-2</v>
      </c>
      <c r="M19" s="19">
        <v>8.5999999999999993E-2</v>
      </c>
      <c r="N19" s="19">
        <v>7.9000000000000001E-2</v>
      </c>
      <c r="O19" s="19">
        <v>9.2999999999999999E-2</v>
      </c>
      <c r="P19" s="19">
        <v>6.9000000000000006E-2</v>
      </c>
      <c r="Q19" s="19">
        <v>7.5999999999999998E-2</v>
      </c>
      <c r="R19" s="19">
        <v>2.125</v>
      </c>
      <c r="S19" s="19">
        <v>0</v>
      </c>
      <c r="T19" s="19">
        <v>2.0990000000000002</v>
      </c>
      <c r="U19" s="19">
        <v>0.13700000000000001</v>
      </c>
      <c r="V19" s="19">
        <v>4.5419999999999998</v>
      </c>
      <c r="W19" s="19">
        <v>0</v>
      </c>
    </row>
    <row r="20" spans="1:23" s="23" customFormat="1" x14ac:dyDescent="0.2">
      <c r="A20" s="15" t="s">
        <v>28</v>
      </c>
      <c r="B20" s="19">
        <v>0</v>
      </c>
      <c r="C20" s="19"/>
      <c r="D20" s="19"/>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row>
    <row r="21" spans="1:23" s="23" customFormat="1" x14ac:dyDescent="0.2">
      <c r="A21" s="15" t="s">
        <v>18</v>
      </c>
      <c r="B21" s="19">
        <v>8.2939999999999721</v>
      </c>
      <c r="C21" s="19"/>
      <c r="D21" s="19"/>
      <c r="E21" s="19">
        <v>26.679000000000013</v>
      </c>
      <c r="F21" s="19">
        <v>18.771000000000008</v>
      </c>
      <c r="G21" s="19">
        <v>12.294999999999931</v>
      </c>
      <c r="H21" s="19">
        <f>2.934+0.178</f>
        <v>3.1120000000000001</v>
      </c>
      <c r="I21" s="19">
        <v>10.738999999999997</v>
      </c>
      <c r="J21" s="19">
        <f>7.373+0.715</f>
        <v>8.088000000000001</v>
      </c>
      <c r="K21" s="19">
        <f>7.828+0.65</f>
        <v>8.4779999999999998</v>
      </c>
      <c r="L21" s="19">
        <f>2.727+0.195</f>
        <v>2.9219999999999997</v>
      </c>
      <c r="M21" s="19">
        <v>4.2440000000000024</v>
      </c>
      <c r="N21" s="19">
        <f>1.487+0.105+0.399</f>
        <v>1.9910000000000001</v>
      </c>
      <c r="O21" s="19">
        <f>2.455+0.652+0.393</f>
        <v>3.5</v>
      </c>
      <c r="P21" s="19">
        <f t="shared" ref="P21:W21" si="8">P22-P16-P19-P20</f>
        <v>7.1049999999999818</v>
      </c>
      <c r="Q21" s="19">
        <f t="shared" si="8"/>
        <v>10.530000000000017</v>
      </c>
      <c r="R21" s="19">
        <f t="shared" si="8"/>
        <v>9.2449999999999992</v>
      </c>
      <c r="S21" s="19">
        <f t="shared" si="8"/>
        <v>9.1879999999999704</v>
      </c>
      <c r="T21" s="19">
        <f t="shared" si="8"/>
        <v>4.5319999999999929</v>
      </c>
      <c r="U21" s="19">
        <f t="shared" si="8"/>
        <v>3.9920000000000049</v>
      </c>
      <c r="V21" s="19">
        <f t="shared" si="8"/>
        <v>12.452999999999994</v>
      </c>
      <c r="W21" s="19">
        <f t="shared" si="8"/>
        <v>3.1250000000000497</v>
      </c>
    </row>
    <row r="22" spans="1:23" s="22" customFormat="1" x14ac:dyDescent="0.2">
      <c r="A22" s="22" t="s">
        <v>23</v>
      </c>
      <c r="B22" s="61">
        <v>43.3</v>
      </c>
      <c r="C22" s="61"/>
      <c r="D22" s="61"/>
      <c r="E22" s="61">
        <v>41.84</v>
      </c>
      <c r="F22" s="61">
        <v>44.100999999999999</v>
      </c>
      <c r="G22" s="61">
        <v>36.607999999999919</v>
      </c>
      <c r="H22" s="61">
        <v>35.218999999999994</v>
      </c>
      <c r="I22" s="61">
        <v>36.942999999999998</v>
      </c>
      <c r="J22" s="61">
        <v>33.950000000000003</v>
      </c>
      <c r="K22" s="61">
        <v>31.684999999999999</v>
      </c>
      <c r="L22" s="61">
        <v>30.71</v>
      </c>
      <c r="M22" s="61">
        <v>34.573</v>
      </c>
      <c r="N22" s="61">
        <f>115.855-Q22-P22-O22</f>
        <v>30.483000000000004</v>
      </c>
      <c r="O22" s="61">
        <v>28.741</v>
      </c>
      <c r="P22" s="61">
        <v>31.734999999999999</v>
      </c>
      <c r="Q22" s="61">
        <v>24.896000000000001</v>
      </c>
      <c r="R22" s="61">
        <v>26.524999999999999</v>
      </c>
      <c r="S22" s="61">
        <v>27.042000000000002</v>
      </c>
      <c r="T22" s="61">
        <v>30.399000000000001</v>
      </c>
      <c r="U22" s="61">
        <v>27.393000000000001</v>
      </c>
      <c r="V22" s="61">
        <v>30.472000000000001</v>
      </c>
      <c r="W22" s="61">
        <v>25.091999999999999</v>
      </c>
    </row>
    <row r="23" spans="1:23" s="22" customFormat="1" x14ac:dyDescent="0.2">
      <c r="B23" s="20"/>
      <c r="C23" s="20"/>
      <c r="D23" s="20"/>
      <c r="E23" s="20"/>
      <c r="F23" s="20"/>
      <c r="G23" s="20"/>
      <c r="H23" s="20"/>
      <c r="I23" s="20"/>
      <c r="J23" s="20"/>
      <c r="K23" s="20"/>
      <c r="L23" s="20"/>
      <c r="M23" s="20"/>
      <c r="N23" s="20"/>
      <c r="O23" s="20"/>
      <c r="P23" s="20"/>
      <c r="Q23" s="20"/>
      <c r="R23" s="20"/>
      <c r="S23" s="20"/>
      <c r="T23" s="20"/>
      <c r="U23" s="20"/>
      <c r="V23" s="20"/>
      <c r="W23" s="20"/>
    </row>
    <row r="24" spans="1:23" s="22" customFormat="1" x14ac:dyDescent="0.2">
      <c r="A24" s="22" t="s">
        <v>27</v>
      </c>
      <c r="B24" s="61">
        <v>172.995</v>
      </c>
      <c r="C24" s="61">
        <v>173.761</v>
      </c>
      <c r="D24" s="20"/>
      <c r="E24" s="20">
        <f t="shared" ref="E24:T24" si="9">SUM(E22:H22)</f>
        <v>157.76799999999992</v>
      </c>
      <c r="F24" s="20">
        <f t="shared" si="9"/>
        <v>152.87099999999992</v>
      </c>
      <c r="G24" s="20">
        <f t="shared" si="9"/>
        <v>142.71999999999991</v>
      </c>
      <c r="H24" s="20">
        <f t="shared" si="9"/>
        <v>137.797</v>
      </c>
      <c r="I24" s="20">
        <f t="shared" si="9"/>
        <v>133.28800000000001</v>
      </c>
      <c r="J24" s="20">
        <f t="shared" si="9"/>
        <v>130.91800000000001</v>
      </c>
      <c r="K24" s="20">
        <f t="shared" si="9"/>
        <v>127.45099999999999</v>
      </c>
      <c r="L24" s="20">
        <f t="shared" si="9"/>
        <v>124.50700000000001</v>
      </c>
      <c r="M24" s="20">
        <f t="shared" si="9"/>
        <v>125.53200000000001</v>
      </c>
      <c r="N24" s="20">
        <f t="shared" si="9"/>
        <v>115.855</v>
      </c>
      <c r="O24" s="20">
        <f t="shared" si="9"/>
        <v>111.89699999999999</v>
      </c>
      <c r="P24" s="20">
        <f t="shared" si="9"/>
        <v>110.19800000000001</v>
      </c>
      <c r="Q24" s="20">
        <f t="shared" si="9"/>
        <v>108.86199999999999</v>
      </c>
      <c r="R24" s="20">
        <f t="shared" si="9"/>
        <v>111.35900000000001</v>
      </c>
      <c r="S24" s="20">
        <f t="shared" si="9"/>
        <v>115.30600000000001</v>
      </c>
      <c r="T24" s="20">
        <f t="shared" si="9"/>
        <v>113.35600000000001</v>
      </c>
      <c r="U24" s="20"/>
      <c r="V24" s="20"/>
      <c r="W24" s="20"/>
    </row>
    <row r="25" spans="1:23" s="23" customFormat="1" x14ac:dyDescent="0.2">
      <c r="A25" s="15" t="s">
        <v>26</v>
      </c>
      <c r="B25" s="27">
        <v>0</v>
      </c>
      <c r="C25" s="27">
        <v>0</v>
      </c>
      <c r="D25" s="27"/>
      <c r="E25" s="27">
        <v>0</v>
      </c>
      <c r="F25" s="27">
        <v>0</v>
      </c>
      <c r="G25" s="27">
        <v>0</v>
      </c>
      <c r="H25" s="27">
        <v>0</v>
      </c>
      <c r="I25" s="27">
        <v>0</v>
      </c>
      <c r="J25" s="27">
        <v>0</v>
      </c>
      <c r="K25" s="27">
        <v>0</v>
      </c>
      <c r="L25" s="27">
        <v>0</v>
      </c>
      <c r="M25" s="27">
        <v>0</v>
      </c>
      <c r="N25" s="27">
        <v>0</v>
      </c>
      <c r="O25" s="27">
        <v>0</v>
      </c>
      <c r="P25" s="27">
        <v>0</v>
      </c>
      <c r="Q25" s="27">
        <v>0</v>
      </c>
      <c r="R25" s="27">
        <v>0</v>
      </c>
      <c r="S25" s="27">
        <v>0</v>
      </c>
      <c r="T25" s="27">
        <v>0</v>
      </c>
      <c r="U25" s="27"/>
      <c r="V25" s="27"/>
      <c r="W25" s="27"/>
    </row>
    <row r="26" spans="1:23" s="23" customFormat="1" x14ac:dyDescent="0.2">
      <c r="A26" s="15" t="s">
        <v>25</v>
      </c>
      <c r="B26" s="21">
        <v>0</v>
      </c>
      <c r="C26" s="21">
        <v>0</v>
      </c>
      <c r="D26" s="21"/>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6"/>
      <c r="V26" s="26"/>
      <c r="W26" s="26"/>
    </row>
    <row r="27" spans="1:23" s="24" customFormat="1" x14ac:dyDescent="0.2">
      <c r="A27" s="22" t="s">
        <v>24</v>
      </c>
      <c r="B27" s="20">
        <f t="shared" ref="B27:F27" si="10">SUM(B24:B26)</f>
        <v>172.995</v>
      </c>
      <c r="C27" s="20">
        <f t="shared" si="10"/>
        <v>173.761</v>
      </c>
      <c r="D27" s="20"/>
      <c r="E27" s="20">
        <f t="shared" si="10"/>
        <v>157.76799999999992</v>
      </c>
      <c r="F27" s="20">
        <f t="shared" si="10"/>
        <v>152.87099999999992</v>
      </c>
      <c r="G27" s="20">
        <f t="shared" ref="G27:H27" si="11">SUM(G24:G26)</f>
        <v>142.71999999999991</v>
      </c>
      <c r="H27" s="20">
        <f t="shared" si="11"/>
        <v>137.797</v>
      </c>
      <c r="I27" s="20">
        <f t="shared" ref="I27:K27" si="12">SUM(I24:I26)</f>
        <v>133.28800000000001</v>
      </c>
      <c r="J27" s="20">
        <f t="shared" si="12"/>
        <v>130.91800000000001</v>
      </c>
      <c r="K27" s="20">
        <f t="shared" si="12"/>
        <v>127.45099999999999</v>
      </c>
      <c r="L27" s="20">
        <f t="shared" ref="L27:T27" si="13">SUM(L24:L26)</f>
        <v>124.50700000000001</v>
      </c>
      <c r="M27" s="20">
        <f t="shared" si="13"/>
        <v>125.53200000000001</v>
      </c>
      <c r="N27" s="20">
        <f t="shared" si="13"/>
        <v>115.855</v>
      </c>
      <c r="O27" s="20">
        <f t="shared" si="13"/>
        <v>111.89699999999999</v>
      </c>
      <c r="P27" s="20">
        <f t="shared" si="13"/>
        <v>110.19800000000001</v>
      </c>
      <c r="Q27" s="20">
        <f t="shared" si="13"/>
        <v>108.86199999999999</v>
      </c>
      <c r="R27" s="20">
        <f t="shared" si="13"/>
        <v>111.35900000000001</v>
      </c>
      <c r="S27" s="20">
        <f t="shared" si="13"/>
        <v>115.30600000000001</v>
      </c>
      <c r="T27" s="20">
        <f t="shared" si="13"/>
        <v>113.35600000000001</v>
      </c>
      <c r="U27" s="25"/>
      <c r="V27" s="25"/>
      <c r="W27" s="25"/>
    </row>
    <row r="28" spans="1:23" s="23" customFormat="1" x14ac:dyDescent="0.2"/>
    <row r="29" spans="1:23" s="22" customFormat="1" x14ac:dyDescent="0.2">
      <c r="A29" s="22" t="s">
        <v>23</v>
      </c>
      <c r="B29" s="20">
        <f t="shared" ref="B29" si="14">B22</f>
        <v>43.3</v>
      </c>
      <c r="C29" s="20"/>
      <c r="D29" s="20"/>
      <c r="E29" s="20">
        <f t="shared" ref="E29:F29" si="15">E22</f>
        <v>41.84</v>
      </c>
      <c r="F29" s="20">
        <f t="shared" si="15"/>
        <v>44.100999999999999</v>
      </c>
      <c r="G29" s="20">
        <f t="shared" ref="G29" si="16">G22</f>
        <v>36.607999999999919</v>
      </c>
      <c r="H29" s="20">
        <f t="shared" ref="H29:K29" si="17">H22</f>
        <v>35.218999999999994</v>
      </c>
      <c r="I29" s="20">
        <f t="shared" si="17"/>
        <v>36.942999999999998</v>
      </c>
      <c r="J29" s="20">
        <f t="shared" si="17"/>
        <v>33.950000000000003</v>
      </c>
      <c r="K29" s="20">
        <f t="shared" si="17"/>
        <v>31.684999999999999</v>
      </c>
      <c r="L29" s="20">
        <f t="shared" ref="L29:W29" si="18">L22</f>
        <v>30.71</v>
      </c>
      <c r="M29" s="20">
        <f t="shared" si="18"/>
        <v>34.573</v>
      </c>
      <c r="N29" s="20">
        <f t="shared" si="18"/>
        <v>30.483000000000004</v>
      </c>
      <c r="O29" s="20">
        <f t="shared" si="18"/>
        <v>28.741</v>
      </c>
      <c r="P29" s="20">
        <f t="shared" si="18"/>
        <v>31.734999999999999</v>
      </c>
      <c r="Q29" s="20">
        <f t="shared" si="18"/>
        <v>24.896000000000001</v>
      </c>
      <c r="R29" s="20">
        <f t="shared" si="18"/>
        <v>26.524999999999999</v>
      </c>
      <c r="S29" s="20">
        <f t="shared" si="18"/>
        <v>27.042000000000002</v>
      </c>
      <c r="T29" s="20">
        <f t="shared" si="18"/>
        <v>30.399000000000001</v>
      </c>
      <c r="U29" s="20">
        <f t="shared" si="18"/>
        <v>27.393000000000001</v>
      </c>
      <c r="V29" s="20">
        <f t="shared" si="18"/>
        <v>30.472000000000001</v>
      </c>
      <c r="W29" s="20">
        <f t="shared" si="18"/>
        <v>25.091999999999999</v>
      </c>
    </row>
    <row r="30" spans="1:23" s="11" customFormat="1" x14ac:dyDescent="0.2">
      <c r="A30" s="19" t="s">
        <v>22</v>
      </c>
      <c r="B30" s="19">
        <v>-17.684000000000001</v>
      </c>
      <c r="C30" s="19"/>
      <c r="D30" s="19"/>
      <c r="E30" s="19">
        <v>-10.298999999999998</v>
      </c>
      <c r="F30" s="19">
        <v>-11.22</v>
      </c>
      <c r="G30" s="19">
        <v>-11.317</v>
      </c>
      <c r="H30" s="19">
        <f>-35.244-I30-J30</f>
        <v>-9.0969999999999995</v>
      </c>
      <c r="I30" s="19">
        <f>-26.147-J30</f>
        <v>-14.395999999999999</v>
      </c>
      <c r="J30" s="19">
        <v>-11.750999999999999</v>
      </c>
      <c r="K30" s="19">
        <v>-11.928999999999995</v>
      </c>
      <c r="L30" s="19">
        <f>-37.56-M30-N30</f>
        <v>-14.070000000000002</v>
      </c>
      <c r="M30" s="19">
        <f>-23.49-N30</f>
        <v>-10.932999999999998</v>
      </c>
      <c r="N30" s="19">
        <v>-12.557</v>
      </c>
      <c r="O30" s="19">
        <f>-43.565-R30-Q30-P30</f>
        <v>-12.902000000000003</v>
      </c>
      <c r="P30" s="19">
        <f>-30.663-Q30-R30</f>
        <v>-9.1489999999999991</v>
      </c>
      <c r="Q30" s="19">
        <f>-21.514-R30</f>
        <v>-9.6109999999999989</v>
      </c>
      <c r="R30" s="19">
        <v>-11.903</v>
      </c>
      <c r="S30" s="19">
        <v>-13.061999999999998</v>
      </c>
      <c r="T30" s="19">
        <v>-13.064</v>
      </c>
      <c r="U30" s="19">
        <v>-13.016999999999999</v>
      </c>
      <c r="V30" s="19">
        <v>-12.119</v>
      </c>
      <c r="W30" s="19">
        <v>-8.4140000000000015</v>
      </c>
    </row>
    <row r="31" spans="1:23" s="11" customFormat="1" x14ac:dyDescent="0.2">
      <c r="A31" s="19" t="s">
        <v>21</v>
      </c>
      <c r="B31" s="19">
        <v>-0.05</v>
      </c>
      <c r="C31" s="19"/>
      <c r="D31" s="19"/>
      <c r="E31" s="19">
        <v>-0.12</v>
      </c>
      <c r="F31" s="19">
        <v>4.2000000000000003E-2</v>
      </c>
      <c r="G31" s="19">
        <v>-3.282</v>
      </c>
      <c r="H31" s="19">
        <f>-9.375-I31-J31</f>
        <v>-3.0250000000000004</v>
      </c>
      <c r="I31" s="19">
        <f>-6.35-J31</f>
        <v>-6.35</v>
      </c>
      <c r="J31" s="19">
        <v>0</v>
      </c>
      <c r="K31" s="19">
        <v>-0.91299999999999981</v>
      </c>
      <c r="L31" s="19">
        <f>-2.987-M31-N31</f>
        <v>-3.0500000000000003</v>
      </c>
      <c r="M31" s="19">
        <f>0.063-N31</f>
        <v>-0.21000000000000002</v>
      </c>
      <c r="N31" s="19">
        <v>0.27300000000000002</v>
      </c>
      <c r="O31" s="19">
        <f>0.854-R31-Q31-P31</f>
        <v>2.149</v>
      </c>
      <c r="P31" s="19">
        <f>-1.295-Q31-R31</f>
        <v>-0.39499999999999991</v>
      </c>
      <c r="Q31" s="19">
        <f>-0.9-R31</f>
        <v>-0.32200000000000017</v>
      </c>
      <c r="R31" s="19">
        <f>3.913-4.491</f>
        <v>-0.57799999999999985</v>
      </c>
      <c r="S31" s="19">
        <f>4.191-5.704</f>
        <v>-1.5129999999999999</v>
      </c>
      <c r="T31" s="19">
        <f>2.937-3.429</f>
        <v>-0.49199999999999999</v>
      </c>
      <c r="U31" s="19">
        <f>2.526-5.484</f>
        <v>-2.9580000000000002</v>
      </c>
      <c r="V31" s="19">
        <f>16.866-4.041</f>
        <v>12.824999999999999</v>
      </c>
      <c r="W31" s="19">
        <f>-1.357-1.638</f>
        <v>-2.9950000000000001</v>
      </c>
    </row>
    <row r="32" spans="1:23" s="11" customFormat="1" x14ac:dyDescent="0.2">
      <c r="A32" s="19" t="s">
        <v>20</v>
      </c>
      <c r="B32" s="19">
        <v>-17.533000000000001</v>
      </c>
      <c r="C32" s="19"/>
      <c r="D32" s="19"/>
      <c r="E32" s="19">
        <v>-7.6449999999999996</v>
      </c>
      <c r="F32" s="19">
        <v>25.413</v>
      </c>
      <c r="G32" s="19">
        <v>4.5540000000000003</v>
      </c>
      <c r="H32" s="19">
        <f>-3.055+2.835-2.468-0.079+2.185+4.924-I32-J32</f>
        <v>4.0080000000000009</v>
      </c>
      <c r="I32" s="19">
        <f>-1.877+0.269-2.265-1.431+1.703+3.935-J32</f>
        <v>-8.9619999999999997</v>
      </c>
      <c r="J32" s="19">
        <f>3.237+2.122-1.211+1.749+4.67-1.271</f>
        <v>9.2959999999999994</v>
      </c>
      <c r="K32" s="19">
        <v>1.6560000000000006</v>
      </c>
      <c r="L32" s="19">
        <f>-2.992+19.272-0.854+5.346-15.188+2.654-M32-N32</f>
        <v>7.0919999999999952</v>
      </c>
      <c r="M32" s="19">
        <f>5.176+9.531-4.456+5.626-15.228+0.497-N32</f>
        <v>-1.6839999999999975</v>
      </c>
      <c r="N32" s="19">
        <v>2.83</v>
      </c>
      <c r="O32" s="19">
        <f>0.531-22.409-1.636-0.979+15.519-6.182-R32-Q32-P32</f>
        <v>-13.326999999999998</v>
      </c>
      <c r="P32" s="19">
        <f>2.733-4.115-1.421+3.904+0.743-3.673-Q32-R32</f>
        <v>-17.471</v>
      </c>
      <c r="Q32" s="19">
        <f>4.612+1.264-0.751+1.439+4.077+5.001-R32</f>
        <v>8.0090000000000003</v>
      </c>
      <c r="R32" s="19">
        <v>7.633</v>
      </c>
      <c r="S32" s="19">
        <v>30.966999999999999</v>
      </c>
      <c r="T32" s="19">
        <v>-32.533999999999999</v>
      </c>
      <c r="U32" s="19">
        <v>17.569000000000003</v>
      </c>
      <c r="V32" s="19">
        <v>-12.817000000000002</v>
      </c>
      <c r="W32" s="19">
        <v>-12.194000000000003</v>
      </c>
    </row>
    <row r="33" spans="1:23" s="11" customFormat="1" x14ac:dyDescent="0.2">
      <c r="A33" s="19" t="s">
        <v>19</v>
      </c>
      <c r="B33" s="19">
        <v>0</v>
      </c>
      <c r="C33" s="19"/>
      <c r="D33" s="19"/>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row>
    <row r="34" spans="1:23" s="11" customFormat="1" x14ac:dyDescent="0.2">
      <c r="A34" s="19" t="s">
        <v>18</v>
      </c>
      <c r="B34" s="21">
        <v>0</v>
      </c>
      <c r="C34" s="21"/>
      <c r="D34" s="21"/>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row>
    <row r="35" spans="1:23" s="20" customFormat="1" x14ac:dyDescent="0.2">
      <c r="A35" s="20" t="s">
        <v>17</v>
      </c>
      <c r="B35" s="20">
        <v>-0.15</v>
      </c>
      <c r="E35" s="20">
        <v>2.2890000000000015</v>
      </c>
      <c r="F35" s="20">
        <v>36.982999999999997</v>
      </c>
      <c r="G35" s="20">
        <v>14.149000000000001</v>
      </c>
      <c r="H35" s="20">
        <f>33.726-I35-J35</f>
        <v>14.16</v>
      </c>
      <c r="I35" s="20">
        <f>19.566-J35</f>
        <v>3.036999999999999</v>
      </c>
      <c r="J35" s="20">
        <v>16.529</v>
      </c>
      <c r="K35" s="20">
        <v>12.189</v>
      </c>
      <c r="L35" s="20">
        <f>38.107-M35-N35</f>
        <v>15.460999999999999</v>
      </c>
      <c r="M35" s="20">
        <f>22.646-N35</f>
        <v>10.457000000000001</v>
      </c>
      <c r="N35" s="20">
        <v>12.189</v>
      </c>
      <c r="O35" s="20">
        <f>14.4-R35-Q35-P35</f>
        <v>-0.40700000000000003</v>
      </c>
      <c r="P35" s="20">
        <f>14.807-Q35-R35</f>
        <v>-6.743999999999998</v>
      </c>
      <c r="Q35" s="20">
        <f>21.551-R35</f>
        <v>10.253999999999998</v>
      </c>
      <c r="R35" s="20">
        <v>11.297000000000001</v>
      </c>
      <c r="S35" s="20">
        <v>36.113</v>
      </c>
      <c r="T35" s="20">
        <v>-21.602</v>
      </c>
      <c r="U35" s="20">
        <v>25.506</v>
      </c>
      <c r="V35" s="20">
        <v>-7.0469999999999997</v>
      </c>
      <c r="W35" s="20">
        <v>-0.75300000000000011</v>
      </c>
    </row>
    <row r="36" spans="1:23" s="11" customFormat="1" x14ac:dyDescent="0.2">
      <c r="A36" s="19" t="s">
        <v>16</v>
      </c>
      <c r="B36" s="21">
        <v>-2.4</v>
      </c>
      <c r="C36" s="21"/>
      <c r="D36" s="21"/>
      <c r="E36" s="21">
        <v>-2.4109999999999996</v>
      </c>
      <c r="F36" s="21">
        <v>-2.2080000000000002</v>
      </c>
      <c r="G36" s="21">
        <v>-2.08</v>
      </c>
      <c r="H36" s="21">
        <f>-5.527-I36-J36</f>
        <v>-1.8600000000000003</v>
      </c>
      <c r="I36" s="21">
        <f>-3.667-J36</f>
        <v>-1.8809999999999998</v>
      </c>
      <c r="J36" s="21">
        <v>-1.786</v>
      </c>
      <c r="K36" s="21">
        <v>-2.0060000000000002</v>
      </c>
      <c r="L36" s="21">
        <f>-7.801-M36-N36</f>
        <v>-2.0090000000000008</v>
      </c>
      <c r="M36" s="21">
        <f>-5.792-N36</f>
        <v>-2.7159999999999997</v>
      </c>
      <c r="N36" s="21">
        <v>-3.0760000000000001</v>
      </c>
      <c r="O36" s="21">
        <f>-8.03-R36-Q36-P36</f>
        <v>-2.5469999999999993</v>
      </c>
      <c r="P36" s="21">
        <f>-5.483-Q36-R36</f>
        <v>-1.573</v>
      </c>
      <c r="Q36" s="21">
        <f>-3.91-R36</f>
        <v>-1.4570000000000003</v>
      </c>
      <c r="R36" s="21">
        <v>-2.4529999999999998</v>
      </c>
      <c r="S36" s="21">
        <v>-3.9849999999999994</v>
      </c>
      <c r="T36" s="21">
        <v>-1.5129999999999999</v>
      </c>
      <c r="U36" s="21">
        <v>-1.1949999999999998</v>
      </c>
      <c r="V36" s="21">
        <v>-1.4590000000000001</v>
      </c>
      <c r="W36" s="21">
        <v>-2.7249999999999996</v>
      </c>
    </row>
    <row r="37" spans="1:23" s="20" customFormat="1" x14ac:dyDescent="0.2">
      <c r="A37" s="20" t="s">
        <v>15</v>
      </c>
      <c r="B37" s="20">
        <f t="shared" ref="B37" si="19">+B35+B36</f>
        <v>-2.5499999999999998</v>
      </c>
      <c r="E37" s="20">
        <f t="shared" ref="E37:W37" si="20">+E35+E36</f>
        <v>-0.12199999999999811</v>
      </c>
      <c r="F37" s="20">
        <f t="shared" si="20"/>
        <v>34.774999999999999</v>
      </c>
      <c r="G37" s="20">
        <f t="shared" si="20"/>
        <v>12.069000000000001</v>
      </c>
      <c r="H37" s="20">
        <f t="shared" si="20"/>
        <v>12.3</v>
      </c>
      <c r="I37" s="20">
        <f t="shared" si="20"/>
        <v>1.1559999999999993</v>
      </c>
      <c r="J37" s="20">
        <f t="shared" si="20"/>
        <v>14.743</v>
      </c>
      <c r="K37" s="20">
        <f t="shared" si="20"/>
        <v>10.183</v>
      </c>
      <c r="L37" s="20">
        <f t="shared" si="20"/>
        <v>13.451999999999998</v>
      </c>
      <c r="M37" s="20">
        <f t="shared" si="20"/>
        <v>7.7410000000000014</v>
      </c>
      <c r="N37" s="20">
        <f t="shared" si="20"/>
        <v>9.1129999999999995</v>
      </c>
      <c r="O37" s="20">
        <f t="shared" si="20"/>
        <v>-2.9539999999999993</v>
      </c>
      <c r="P37" s="20">
        <f t="shared" si="20"/>
        <v>-8.3169999999999984</v>
      </c>
      <c r="Q37" s="20">
        <f t="shared" si="20"/>
        <v>8.796999999999997</v>
      </c>
      <c r="R37" s="20">
        <f t="shared" si="20"/>
        <v>8.8440000000000012</v>
      </c>
      <c r="S37" s="20">
        <f t="shared" si="20"/>
        <v>32.128</v>
      </c>
      <c r="T37" s="20">
        <f t="shared" si="20"/>
        <v>-23.115000000000002</v>
      </c>
      <c r="U37" s="20">
        <f t="shared" si="20"/>
        <v>24.311</v>
      </c>
      <c r="V37" s="20">
        <f t="shared" si="20"/>
        <v>-8.5060000000000002</v>
      </c>
      <c r="W37" s="20">
        <f t="shared" si="20"/>
        <v>-3.4779999999999998</v>
      </c>
    </row>
    <row r="39" spans="1:23" s="16" customFormat="1" x14ac:dyDescent="0.2">
      <c r="A39" s="18" t="s">
        <v>14</v>
      </c>
      <c r="B39" s="19">
        <v>0</v>
      </c>
      <c r="C39" s="19">
        <v>0</v>
      </c>
      <c r="D39" s="19">
        <v>0</v>
      </c>
      <c r="E39" s="19">
        <v>20</v>
      </c>
      <c r="F39" s="19">
        <v>90</v>
      </c>
      <c r="G39" s="19">
        <v>55</v>
      </c>
      <c r="H39" s="19">
        <v>0</v>
      </c>
      <c r="I39" s="19">
        <v>0</v>
      </c>
      <c r="J39" s="19">
        <v>0</v>
      </c>
      <c r="K39" s="19">
        <v>0</v>
      </c>
      <c r="L39" s="19">
        <v>0</v>
      </c>
      <c r="M39" s="19">
        <v>0</v>
      </c>
      <c r="N39" s="19">
        <v>0</v>
      </c>
      <c r="O39" s="19">
        <v>0</v>
      </c>
      <c r="P39" s="19">
        <v>0</v>
      </c>
      <c r="Q39" s="19">
        <v>0</v>
      </c>
      <c r="R39" s="19">
        <v>0</v>
      </c>
      <c r="S39" s="19">
        <v>0</v>
      </c>
      <c r="T39" s="19">
        <v>0</v>
      </c>
      <c r="U39" s="19"/>
      <c r="V39" s="19"/>
      <c r="W39" s="19"/>
    </row>
    <row r="40" spans="1:23" s="16" customFormat="1" x14ac:dyDescent="0.2">
      <c r="A40" s="18" t="s">
        <v>13</v>
      </c>
      <c r="B40" s="19">
        <v>980</v>
      </c>
      <c r="C40" s="19">
        <v>980</v>
      </c>
      <c r="D40" s="19">
        <v>930</v>
      </c>
      <c r="E40" s="19">
        <v>478.71222</v>
      </c>
      <c r="F40" s="19">
        <v>479.91199999999998</v>
      </c>
      <c r="G40" s="19">
        <v>481.36399999999998</v>
      </c>
      <c r="H40" s="19">
        <v>482.60500000000002</v>
      </c>
      <c r="I40" s="19">
        <v>483.84500000000003</v>
      </c>
      <c r="J40" s="19">
        <v>485.084</v>
      </c>
      <c r="K40" s="19">
        <v>486.32499999999999</v>
      </c>
      <c r="L40" s="19">
        <v>487.56700000000001</v>
      </c>
      <c r="M40" s="19">
        <v>488.80700000000002</v>
      </c>
      <c r="N40" s="19">
        <v>490.04700000000003</v>
      </c>
      <c r="O40" s="19">
        <v>491.22800000000001</v>
      </c>
      <c r="P40" s="19">
        <v>491.995</v>
      </c>
      <c r="Q40" s="19">
        <v>210</v>
      </c>
      <c r="R40" s="19">
        <v>210</v>
      </c>
      <c r="S40" s="19">
        <v>210</v>
      </c>
      <c r="T40" s="19">
        <v>210</v>
      </c>
      <c r="U40" s="19"/>
      <c r="V40" s="19"/>
      <c r="W40" s="19"/>
    </row>
    <row r="41" spans="1:23" s="16" customFormat="1" x14ac:dyDescent="0.2">
      <c r="A41" s="18" t="s">
        <v>12</v>
      </c>
      <c r="B41" s="19">
        <f>B39+B40+340</f>
        <v>1320</v>
      </c>
      <c r="C41" s="19">
        <f>+C39+C40+315</f>
        <v>1295</v>
      </c>
      <c r="D41" s="19">
        <f>D39+D40+340</f>
        <v>1270</v>
      </c>
      <c r="E41" s="19">
        <f t="shared" ref="E41:J41" si="21">E39+E40+170</f>
        <v>668.71222</v>
      </c>
      <c r="F41" s="19">
        <f t="shared" si="21"/>
        <v>739.91200000000003</v>
      </c>
      <c r="G41" s="19">
        <f t="shared" si="21"/>
        <v>706.36400000000003</v>
      </c>
      <c r="H41" s="19">
        <f t="shared" si="21"/>
        <v>652.60500000000002</v>
      </c>
      <c r="I41" s="19">
        <f t="shared" si="21"/>
        <v>653.84500000000003</v>
      </c>
      <c r="J41" s="19">
        <f t="shared" si="21"/>
        <v>655.08400000000006</v>
      </c>
      <c r="K41" s="19">
        <f>K39+K40+170+1.237</f>
        <v>657.56200000000001</v>
      </c>
      <c r="L41" s="19">
        <f>L39+L40+170</f>
        <v>657.56700000000001</v>
      </c>
      <c r="M41" s="19">
        <f>M39+M40+210</f>
        <v>698.80700000000002</v>
      </c>
      <c r="N41" s="19">
        <v>700.04700000000003</v>
      </c>
      <c r="O41" s="19">
        <f>+O39+O40+210+2.001</f>
        <v>703.22900000000004</v>
      </c>
      <c r="P41" s="19">
        <v>701.995</v>
      </c>
      <c r="Q41" s="19">
        <v>703.41599999999994</v>
      </c>
      <c r="R41" s="19">
        <v>704.83400000000006</v>
      </c>
      <c r="S41" s="19">
        <v>706.25</v>
      </c>
      <c r="T41" s="19">
        <v>707.5</v>
      </c>
      <c r="U41" s="19"/>
      <c r="V41" s="19"/>
      <c r="W41" s="19"/>
    </row>
    <row r="42" spans="1:23" s="16" customFormat="1" x14ac:dyDescent="0.2">
      <c r="A42" s="18" t="s">
        <v>11</v>
      </c>
      <c r="B42" s="17">
        <v>1930</v>
      </c>
      <c r="C42" s="17">
        <v>1930</v>
      </c>
      <c r="D42" s="17">
        <v>1930</v>
      </c>
      <c r="E42" s="17">
        <v>545</v>
      </c>
      <c r="F42" s="17">
        <v>545</v>
      </c>
      <c r="G42" s="17">
        <v>545</v>
      </c>
      <c r="H42" s="17">
        <v>545</v>
      </c>
      <c r="I42" s="17">
        <v>545</v>
      </c>
      <c r="J42" s="17">
        <v>545</v>
      </c>
      <c r="K42" s="17">
        <v>545</v>
      </c>
      <c r="L42" s="17">
        <v>545</v>
      </c>
      <c r="M42" s="17">
        <v>545</v>
      </c>
      <c r="N42" s="17">
        <v>545</v>
      </c>
      <c r="O42" s="17">
        <v>545</v>
      </c>
      <c r="P42" s="17">
        <v>545</v>
      </c>
      <c r="Q42" s="17">
        <v>545</v>
      </c>
      <c r="R42" s="17">
        <v>545</v>
      </c>
      <c r="S42" s="17">
        <v>545</v>
      </c>
      <c r="T42" s="17">
        <v>545</v>
      </c>
      <c r="U42" s="17"/>
      <c r="V42" s="17"/>
      <c r="W42" s="17"/>
    </row>
    <row r="43" spans="1:23" x14ac:dyDescent="0.2">
      <c r="B43" s="16"/>
      <c r="C43" s="16"/>
      <c r="D43" s="16"/>
      <c r="E43" s="16"/>
      <c r="F43" s="16"/>
      <c r="G43" s="16"/>
      <c r="H43" s="16"/>
      <c r="I43" s="16"/>
      <c r="J43" s="16"/>
      <c r="K43" s="16"/>
      <c r="L43" s="16"/>
      <c r="M43" s="16"/>
      <c r="N43" s="16"/>
      <c r="O43" s="16"/>
      <c r="P43" s="16"/>
      <c r="Q43" s="16"/>
      <c r="R43" s="16"/>
    </row>
    <row r="44" spans="1:23" x14ac:dyDescent="0.2">
      <c r="A44" s="15" t="s">
        <v>10</v>
      </c>
      <c r="B44" s="27">
        <v>56.063000000000002</v>
      </c>
      <c r="C44" s="27">
        <v>58.613</v>
      </c>
      <c r="D44" s="27"/>
      <c r="E44" s="27">
        <v>9.59</v>
      </c>
      <c r="F44" s="27">
        <v>80.653000000000006</v>
      </c>
      <c r="G44" s="27">
        <v>12.33</v>
      </c>
      <c r="H44" s="27">
        <v>31.231999999999999</v>
      </c>
      <c r="I44" s="27">
        <v>20.376000000000001</v>
      </c>
      <c r="J44" s="27">
        <v>20.661999999999999</v>
      </c>
      <c r="K44" s="27">
        <v>7.3579999999999997</v>
      </c>
      <c r="L44" s="27">
        <v>5.694</v>
      </c>
      <c r="M44" s="27">
        <v>33.555</v>
      </c>
      <c r="N44" s="27">
        <v>27.152000000000001</v>
      </c>
      <c r="O44" s="27">
        <v>19.356999999999999</v>
      </c>
      <c r="P44" s="27">
        <v>24.774000000000022</v>
      </c>
      <c r="Q44" s="27">
        <v>34.429000000000016</v>
      </c>
      <c r="R44" s="27">
        <v>27.098000000000017</v>
      </c>
      <c r="S44" s="27">
        <v>20.926000000000016</v>
      </c>
      <c r="T44" s="27">
        <v>15.441000000000043</v>
      </c>
      <c r="U44" s="14"/>
      <c r="V44" s="14"/>
      <c r="W44" s="14"/>
    </row>
    <row r="46" spans="1:23" x14ac:dyDescent="0.2">
      <c r="A46" s="1" t="s">
        <v>9</v>
      </c>
      <c r="B46" s="11">
        <f>C46+B12-F12</f>
        <v>948.7639999999999</v>
      </c>
      <c r="C46" s="11">
        <v>918.97899999999993</v>
      </c>
      <c r="D46" s="12">
        <v>881.7</v>
      </c>
      <c r="E46" s="11">
        <f t="shared" ref="E46:T46" si="22">SUM(E12:H12)</f>
        <v>844.82200000000012</v>
      </c>
      <c r="F46" s="11">
        <f t="shared" si="22"/>
        <v>810.16300000000001</v>
      </c>
      <c r="G46" s="11">
        <f t="shared" si="22"/>
        <v>771.30700000000002</v>
      </c>
      <c r="H46" s="11">
        <f t="shared" si="22"/>
        <v>751.04099999999994</v>
      </c>
      <c r="I46" s="11">
        <f t="shared" si="22"/>
        <v>728.25299999999993</v>
      </c>
      <c r="J46" s="11">
        <f t="shared" si="22"/>
        <v>707.44599999999991</v>
      </c>
      <c r="K46" s="11">
        <f t="shared" si="22"/>
        <v>692.90399999999988</v>
      </c>
      <c r="L46" s="11">
        <f t="shared" si="22"/>
        <v>676.36500000000001</v>
      </c>
      <c r="M46" s="11">
        <f t="shared" si="22"/>
        <v>664.27</v>
      </c>
      <c r="N46" s="11">
        <f t="shared" si="22"/>
        <v>650.26200000000006</v>
      </c>
      <c r="O46" s="11">
        <f t="shared" si="22"/>
        <v>634.995</v>
      </c>
      <c r="P46" s="11">
        <f t="shared" si="22"/>
        <v>629.25800000000004</v>
      </c>
      <c r="Q46" s="11">
        <f t="shared" si="22"/>
        <v>621.00800000000004</v>
      </c>
      <c r="R46" s="11">
        <f t="shared" si="22"/>
        <v>613.43100000000004</v>
      </c>
      <c r="S46" s="11">
        <f t="shared" si="22"/>
        <v>609.97900000000004</v>
      </c>
      <c r="T46" s="11">
        <f t="shared" si="22"/>
        <v>598.27299999999991</v>
      </c>
    </row>
    <row r="47" spans="1:23" x14ac:dyDescent="0.2">
      <c r="A47" s="1" t="s">
        <v>8</v>
      </c>
      <c r="B47" s="11">
        <f t="shared" ref="B47:C47" si="23">+B27</f>
        <v>172.995</v>
      </c>
      <c r="C47" s="11">
        <f t="shared" si="23"/>
        <v>173.761</v>
      </c>
      <c r="D47" s="12">
        <v>172.2</v>
      </c>
      <c r="E47" s="11">
        <f t="shared" ref="E47:F47" si="24">+E27</f>
        <v>157.76799999999992</v>
      </c>
      <c r="F47" s="11">
        <f t="shared" si="24"/>
        <v>152.87099999999992</v>
      </c>
      <c r="G47" s="11">
        <f t="shared" ref="G47" si="25">+G27</f>
        <v>142.71999999999991</v>
      </c>
      <c r="H47" s="11">
        <f t="shared" ref="H47:I47" si="26">+H27</f>
        <v>137.797</v>
      </c>
      <c r="I47" s="11">
        <f t="shared" si="26"/>
        <v>133.28800000000001</v>
      </c>
      <c r="J47" s="11">
        <f t="shared" ref="J47:K47" si="27">+J27</f>
        <v>130.91800000000001</v>
      </c>
      <c r="K47" s="11">
        <f t="shared" si="27"/>
        <v>127.45099999999999</v>
      </c>
      <c r="L47" s="11">
        <f t="shared" ref="L47:T47" si="28">+L27</f>
        <v>124.50700000000001</v>
      </c>
      <c r="M47" s="11">
        <f t="shared" si="28"/>
        <v>125.53200000000001</v>
      </c>
      <c r="N47" s="11">
        <f t="shared" si="28"/>
        <v>115.855</v>
      </c>
      <c r="O47" s="11">
        <f t="shared" si="28"/>
        <v>111.89699999999999</v>
      </c>
      <c r="P47" s="11">
        <f t="shared" si="28"/>
        <v>110.19800000000001</v>
      </c>
      <c r="Q47" s="11">
        <f t="shared" si="28"/>
        <v>108.86199999999999</v>
      </c>
      <c r="R47" s="11">
        <f t="shared" si="28"/>
        <v>111.35900000000001</v>
      </c>
      <c r="S47" s="11">
        <f t="shared" si="28"/>
        <v>115.30600000000001</v>
      </c>
      <c r="T47" s="11">
        <f t="shared" si="28"/>
        <v>113.35600000000001</v>
      </c>
    </row>
    <row r="48" spans="1:23" x14ac:dyDescent="0.2">
      <c r="A48" s="1" t="s">
        <v>7</v>
      </c>
      <c r="B48" s="11"/>
      <c r="C48" s="11"/>
      <c r="D48" s="11"/>
      <c r="E48" s="11">
        <f t="shared" ref="E48:T48" si="29">+SUM(E37:H37)</f>
        <v>59.022000000000006</v>
      </c>
      <c r="F48" s="11">
        <f t="shared" si="29"/>
        <v>60.300000000000004</v>
      </c>
      <c r="G48" s="11">
        <f t="shared" si="29"/>
        <v>40.268000000000001</v>
      </c>
      <c r="H48" s="11">
        <f t="shared" si="29"/>
        <v>38.381999999999998</v>
      </c>
      <c r="I48" s="11">
        <f t="shared" si="29"/>
        <v>39.533999999999999</v>
      </c>
      <c r="J48" s="11">
        <f t="shared" si="29"/>
        <v>46.119</v>
      </c>
      <c r="K48" s="11">
        <f t="shared" si="29"/>
        <v>40.488999999999997</v>
      </c>
      <c r="L48" s="11">
        <f t="shared" si="29"/>
        <v>27.351999999999997</v>
      </c>
      <c r="M48" s="11">
        <f t="shared" si="29"/>
        <v>5.583000000000002</v>
      </c>
      <c r="N48" s="11">
        <f t="shared" si="29"/>
        <v>6.6389999999999993</v>
      </c>
      <c r="O48" s="11">
        <f t="shared" si="29"/>
        <v>6.370000000000001</v>
      </c>
      <c r="P48" s="11">
        <f t="shared" si="29"/>
        <v>41.451999999999998</v>
      </c>
      <c r="Q48" s="11">
        <f t="shared" si="29"/>
        <v>26.653999999999996</v>
      </c>
      <c r="R48" s="11">
        <f t="shared" si="29"/>
        <v>42.167999999999999</v>
      </c>
      <c r="S48" s="11">
        <f t="shared" si="29"/>
        <v>24.817999999999998</v>
      </c>
      <c r="T48" s="11">
        <f t="shared" si="29"/>
        <v>-10.788000000000002</v>
      </c>
    </row>
    <row r="50" spans="1:23" s="10" customFormat="1" x14ac:dyDescent="0.2">
      <c r="A50" s="10" t="s">
        <v>6</v>
      </c>
      <c r="B50" s="10">
        <f t="shared" ref="B50" si="30">+SUM(B39:B40)/B47</f>
        <v>5.6649036099309225</v>
      </c>
      <c r="C50" s="10">
        <f t="shared" ref="C50:D50" si="31">+SUM(C39:C40)/C47</f>
        <v>5.6399307094227131</v>
      </c>
      <c r="D50" s="10">
        <f t="shared" si="31"/>
        <v>5.4006968641114987</v>
      </c>
      <c r="E50" s="10">
        <f t="shared" ref="E50:F50" si="32">+SUM(E39:E40)/E47</f>
        <v>3.1610479945236061</v>
      </c>
      <c r="F50" s="10">
        <f t="shared" si="32"/>
        <v>3.728058297518825</v>
      </c>
      <c r="G50" s="10">
        <f t="shared" ref="G50" si="33">+SUM(G39:G40)/G47</f>
        <v>3.758155829596415</v>
      </c>
      <c r="H50" s="10">
        <f t="shared" ref="H50:I50" si="34">+SUM(H39:H40)/H47</f>
        <v>3.5022895999187211</v>
      </c>
      <c r="I50" s="10">
        <f t="shared" si="34"/>
        <v>3.6300717243862914</v>
      </c>
      <c r="J50" s="10">
        <f t="shared" ref="J50:K50" si="35">+SUM(J39:J40)/J47</f>
        <v>3.7052506148887088</v>
      </c>
      <c r="K50" s="10">
        <f t="shared" si="35"/>
        <v>3.8157801821876642</v>
      </c>
      <c r="L50" s="10">
        <f t="shared" ref="L50:M50" si="36">+SUM(L39:L40)/L47</f>
        <v>3.9159806275952356</v>
      </c>
      <c r="M50" s="10">
        <f t="shared" si="36"/>
        <v>3.8938836312653344</v>
      </c>
      <c r="N50" s="10">
        <f t="shared" ref="N50:T50" si="37">+SUM(N39:N40)/N47</f>
        <v>4.2298303914375728</v>
      </c>
      <c r="O50" s="10">
        <f t="shared" si="37"/>
        <v>4.3900015192543149</v>
      </c>
      <c r="P50" s="10">
        <f t="shared" si="37"/>
        <v>4.464645456360369</v>
      </c>
      <c r="Q50" s="10">
        <f t="shared" si="37"/>
        <v>1.9290477852694237</v>
      </c>
      <c r="R50" s="10">
        <f t="shared" si="37"/>
        <v>1.8857927962715182</v>
      </c>
      <c r="S50" s="10">
        <f t="shared" si="37"/>
        <v>1.8212408721142004</v>
      </c>
      <c r="T50" s="10">
        <f t="shared" si="37"/>
        <v>1.8525706623381204</v>
      </c>
    </row>
    <row r="51" spans="1:23" s="10" customFormat="1" x14ac:dyDescent="0.2">
      <c r="A51" s="10" t="s">
        <v>5</v>
      </c>
      <c r="B51" s="10">
        <f t="shared" ref="B51" si="38">+B41/B47</f>
        <v>7.6302783317436917</v>
      </c>
      <c r="C51" s="10">
        <f t="shared" ref="C51:D51" si="39">+C41/C47</f>
        <v>7.4527655803085846</v>
      </c>
      <c r="D51" s="10">
        <f t="shared" si="39"/>
        <v>7.3751451800232291</v>
      </c>
      <c r="E51" s="10">
        <f t="shared" ref="E51:F51" si="40">+E41/E47</f>
        <v>4.2385795598600495</v>
      </c>
      <c r="F51" s="10">
        <f t="shared" si="40"/>
        <v>4.8401070183357238</v>
      </c>
      <c r="G51" s="10">
        <f t="shared" ref="G51" si="41">+G41/G47</f>
        <v>4.9492993273542636</v>
      </c>
      <c r="H51" s="10">
        <f t="shared" ref="H51:I51" si="42">+H41/H47</f>
        <v>4.7359884467731517</v>
      </c>
      <c r="I51" s="10">
        <f t="shared" si="42"/>
        <v>4.905505371826421</v>
      </c>
      <c r="J51" s="10">
        <f t="shared" ref="J51:K51" si="43">+J41/J47</f>
        <v>5.0037733543133873</v>
      </c>
      <c r="K51" s="10">
        <f t="shared" si="43"/>
        <v>5.1593318216412589</v>
      </c>
      <c r="L51" s="10">
        <f t="shared" ref="L51:T51" si="44">+L41/L47</f>
        <v>5.2813657063458281</v>
      </c>
      <c r="M51" s="10">
        <f t="shared" si="44"/>
        <v>5.5667638530414552</v>
      </c>
      <c r="N51" s="10">
        <f t="shared" si="44"/>
        <v>6.0424409822623106</v>
      </c>
      <c r="O51" s="10">
        <f t="shared" si="44"/>
        <v>6.2846099537967959</v>
      </c>
      <c r="P51" s="10">
        <f t="shared" si="44"/>
        <v>6.3703061761556468</v>
      </c>
      <c r="Q51" s="10">
        <f t="shared" si="44"/>
        <v>6.4615384615384617</v>
      </c>
      <c r="R51" s="10">
        <f t="shared" si="44"/>
        <v>6.3293851417487588</v>
      </c>
      <c r="S51" s="10">
        <f t="shared" si="44"/>
        <v>6.1250065044316857</v>
      </c>
      <c r="T51" s="10">
        <f t="shared" si="44"/>
        <v>6.2413987790677155</v>
      </c>
    </row>
    <row r="52" spans="1:23" s="10" customFormat="1" x14ac:dyDescent="0.2">
      <c r="A52" s="10" t="s">
        <v>4</v>
      </c>
      <c r="B52" s="10">
        <f t="shared" ref="B52" si="45">+(B41-B44)/B47</f>
        <v>7.3062053816584287</v>
      </c>
      <c r="C52" s="10">
        <f t="shared" ref="C52:D52" si="46">+(C41-C44)/C47</f>
        <v>7.1154459286030809</v>
      </c>
      <c r="D52" s="10">
        <f t="shared" si="46"/>
        <v>7.3751451800232291</v>
      </c>
      <c r="E52" s="10">
        <f t="shared" ref="E52:F52" si="47">+(E41-E44)/E47</f>
        <v>4.1777941027331291</v>
      </c>
      <c r="F52" s="10">
        <f t="shared" si="47"/>
        <v>4.3125183978648689</v>
      </c>
      <c r="G52" s="10">
        <f t="shared" ref="G52" si="48">+(G41-G44)/G47</f>
        <v>4.8629063901345324</v>
      </c>
      <c r="H52" s="10">
        <f t="shared" ref="H52:I52" si="49">+(H41-H44)/H47</f>
        <v>4.5093361974498727</v>
      </c>
      <c r="I52" s="10">
        <f t="shared" si="49"/>
        <v>4.7526333953544206</v>
      </c>
      <c r="J52" s="10">
        <f t="shared" ref="J52:K52" si="50">+(J41-J44)/J47</f>
        <v>4.8459493728899004</v>
      </c>
      <c r="K52" s="10">
        <f t="shared" si="50"/>
        <v>5.1015998305231038</v>
      </c>
      <c r="L52" s="10">
        <f t="shared" ref="L52:T52" si="51">+(L41-L44)/L47</f>
        <v>5.2356333378846172</v>
      </c>
      <c r="M52" s="10">
        <f t="shared" si="51"/>
        <v>5.2994614918905141</v>
      </c>
      <c r="N52" s="10">
        <f t="shared" si="51"/>
        <v>5.8080790643476758</v>
      </c>
      <c r="O52" s="10">
        <f t="shared" si="51"/>
        <v>6.1116205081458856</v>
      </c>
      <c r="P52" s="10">
        <f t="shared" si="51"/>
        <v>6.1454926586689407</v>
      </c>
      <c r="Q52" s="10">
        <f t="shared" si="51"/>
        <v>6.1452756701144571</v>
      </c>
      <c r="R52" s="10">
        <f t="shared" si="51"/>
        <v>6.0860460313041598</v>
      </c>
      <c r="S52" s="10">
        <f t="shared" si="51"/>
        <v>5.9435241878132956</v>
      </c>
      <c r="T52" s="10">
        <f t="shared" si="51"/>
        <v>6.1051819047955105</v>
      </c>
    </row>
    <row r="53" spans="1:23" s="6" customFormat="1" x14ac:dyDescent="0.2">
      <c r="A53" s="6" t="s">
        <v>3</v>
      </c>
      <c r="B53" s="6">
        <f t="shared" ref="B53" si="52">+B48/B41</f>
        <v>0</v>
      </c>
      <c r="C53" s="6">
        <f t="shared" ref="C53:D53" si="53">+C48/C41</f>
        <v>0</v>
      </c>
      <c r="D53" s="6">
        <f t="shared" si="53"/>
        <v>0</v>
      </c>
      <c r="E53" s="6">
        <f t="shared" ref="E53:F53" si="54">+E48/E41</f>
        <v>8.826218249757721E-2</v>
      </c>
      <c r="F53" s="6">
        <f t="shared" si="54"/>
        <v>8.1496177923861213E-2</v>
      </c>
      <c r="G53" s="6">
        <f t="shared" ref="G53" si="55">+G48/G41</f>
        <v>5.7007435260007587E-2</v>
      </c>
      <c r="H53" s="6">
        <f t="shared" ref="H53:I53" si="56">+H48/H41</f>
        <v>5.881352426046383E-2</v>
      </c>
      <c r="I53" s="6">
        <f t="shared" si="56"/>
        <v>6.046387140683189E-2</v>
      </c>
      <c r="J53" s="6">
        <f t="shared" ref="J53:K53" si="57">+J48/J41</f>
        <v>7.0401658413272186E-2</v>
      </c>
      <c r="K53" s="6">
        <f t="shared" si="57"/>
        <v>6.1574421879609827E-2</v>
      </c>
      <c r="L53" s="6">
        <f t="shared" ref="L53:T53" si="58">+L48/L41</f>
        <v>4.1595761344471356E-2</v>
      </c>
      <c r="M53" s="6">
        <f t="shared" si="58"/>
        <v>7.9893303873601745E-3</v>
      </c>
      <c r="N53" s="6">
        <f t="shared" si="58"/>
        <v>9.4836489549987354E-3</v>
      </c>
      <c r="O53" s="6">
        <f t="shared" si="58"/>
        <v>9.0582157448000581E-3</v>
      </c>
      <c r="P53" s="6">
        <f t="shared" si="58"/>
        <v>5.9048853624313558E-2</v>
      </c>
      <c r="Q53" s="6">
        <f t="shared" si="58"/>
        <v>3.7892228780693073E-2</v>
      </c>
      <c r="R53" s="6">
        <f t="shared" si="58"/>
        <v>5.9826852847620855E-2</v>
      </c>
      <c r="S53" s="6">
        <f t="shared" si="58"/>
        <v>3.5140530973451323E-2</v>
      </c>
      <c r="T53" s="6">
        <f t="shared" si="58"/>
        <v>-1.5248056537102476E-2</v>
      </c>
    </row>
    <row r="54" spans="1:23" s="6" customFormat="1" x14ac:dyDescent="0.2">
      <c r="A54" s="8" t="s">
        <v>2</v>
      </c>
      <c r="B54" s="9"/>
      <c r="C54" s="9"/>
      <c r="D54" s="9"/>
      <c r="E54" s="9"/>
      <c r="F54" s="9"/>
      <c r="G54" s="9"/>
      <c r="H54" s="9"/>
      <c r="I54" s="9"/>
      <c r="J54" s="9"/>
      <c r="K54" s="9"/>
      <c r="L54" s="9"/>
      <c r="M54" s="9"/>
      <c r="N54" s="9"/>
      <c r="O54" s="9"/>
      <c r="P54" s="9"/>
      <c r="Q54" s="9"/>
      <c r="R54" s="9"/>
      <c r="S54" s="9"/>
      <c r="T54" s="9"/>
      <c r="U54" s="8"/>
      <c r="V54" s="8"/>
      <c r="W54" s="8"/>
    </row>
    <row r="55" spans="1:23" s="6" customFormat="1" x14ac:dyDescent="0.2">
      <c r="A55" s="6" t="s">
        <v>1</v>
      </c>
      <c r="B55" s="7">
        <f t="shared" ref="B55" si="59">IF(B42=0,IF(B54="","","*"&amp;TEXT(B54,"0.0x")),(B41+B42-B44)/B47)</f>
        <v>18.462597184889734</v>
      </c>
      <c r="C55" s="7">
        <f t="shared" ref="C55:D55" si="60">IF(C42=0,IF(C54="","","*"&amp;TEXT(C54,"0.0x")),(C41+C42-C44)/C47)</f>
        <v>18.222656407364141</v>
      </c>
      <c r="D55" s="7">
        <f t="shared" si="60"/>
        <v>18.583042973286876</v>
      </c>
      <c r="E55" s="7">
        <f t="shared" ref="E55:F55" si="61">IF(E42=0,IF(E54="","","*"&amp;TEXT(E54,"0.0x")),(E41+E42-E44)/E47)</f>
        <v>7.6322335327823172</v>
      </c>
      <c r="F55" s="7">
        <f t="shared" si="61"/>
        <v>7.8776157675425722</v>
      </c>
      <c r="G55" s="7">
        <f t="shared" ref="G55" si="62">IF(G42=0,IF(G54="","","*"&amp;TEXT(G54,"0.0x")),(G41+G42-G44)/G47)</f>
        <v>8.6815723094170458</v>
      </c>
      <c r="H55" s="7">
        <f t="shared" ref="H55:I55" si="63">IF(H42=0,IF(H54="","","*"&amp;TEXT(H54,"0.0x")),(H41+H42-H44)/H47)</f>
        <v>8.4644295594243708</v>
      </c>
      <c r="I55" s="7">
        <f t="shared" si="63"/>
        <v>8.8415236180301306</v>
      </c>
      <c r="J55" s="7">
        <f t="shared" ref="J55:K55" si="64">IF(J42=0,IF(J54="","","*"&amp;TEXT(J54,"0.0x")),(J41+J42-J44)/J47)</f>
        <v>9.0088605081043092</v>
      </c>
      <c r="K55" s="7">
        <f t="shared" si="64"/>
        <v>9.377753018807228</v>
      </c>
      <c r="L55" s="7">
        <f t="shared" ref="L55:T55" si="65">IF(L42=0,IF(L54="","","*"&amp;TEXT(L54,"0.0x")),(L41+L42-L44)/L47)</f>
        <v>9.6128972668203403</v>
      </c>
      <c r="M55" s="7">
        <f t="shared" si="65"/>
        <v>9.6409839722142543</v>
      </c>
      <c r="N55" s="7">
        <f t="shared" si="65"/>
        <v>10.512235121488066</v>
      </c>
      <c r="O55" s="7">
        <f t="shared" si="65"/>
        <v>10.982171103782944</v>
      </c>
      <c r="P55" s="7">
        <f t="shared" si="65"/>
        <v>11.091135955280492</v>
      </c>
      <c r="Q55" s="7">
        <f t="shared" si="65"/>
        <v>11.151613969980341</v>
      </c>
      <c r="R55" s="7">
        <f t="shared" si="65"/>
        <v>10.980127335913577</v>
      </c>
      <c r="S55" s="7">
        <f t="shared" si="65"/>
        <v>10.670077879728721</v>
      </c>
      <c r="T55" s="7">
        <f t="shared" si="65"/>
        <v>10.91304386181587</v>
      </c>
      <c r="U55" s="7" t="str">
        <f>IF(U42=0,IF(U54="","",CONCATENATE("* ",U54,"x")),(U41+U42-U44)/U47)</f>
        <v/>
      </c>
      <c r="V55" s="7" t="str">
        <f>IF(V42=0,IF(V54="","",CONCATENATE("* ",V54,"x")),(V41+V42-V44)/V47)</f>
        <v/>
      </c>
      <c r="W55" s="7" t="str">
        <f>IF(W42=0,IF(W54="","",CONCATENATE("* ",W54,"x")),(W41+W42-W44)/W47)</f>
        <v/>
      </c>
    </row>
    <row r="56" spans="1:23" x14ac:dyDescent="0.2">
      <c r="T56" s="3"/>
    </row>
    <row r="57" spans="1:23" ht="80.25" customHeight="1" x14ac:dyDescent="0.2">
      <c r="A57" s="5" t="s">
        <v>0</v>
      </c>
      <c r="B57" s="4" t="s">
        <v>367</v>
      </c>
      <c r="C57" s="4" t="s">
        <v>367</v>
      </c>
      <c r="D57" s="4" t="s">
        <v>260</v>
      </c>
      <c r="E57" s="4" t="s">
        <v>104</v>
      </c>
      <c r="F57" s="4" t="s">
        <v>367</v>
      </c>
      <c r="G57" s="4" t="s">
        <v>367</v>
      </c>
      <c r="H57" s="4" t="s">
        <v>235</v>
      </c>
      <c r="I57" s="4" t="s">
        <v>235</v>
      </c>
      <c r="J57" s="4" t="s">
        <v>235</v>
      </c>
      <c r="K57" s="4" t="s">
        <v>235</v>
      </c>
      <c r="L57" s="4"/>
      <c r="M57" s="4"/>
      <c r="N57" s="4"/>
      <c r="O57" s="4"/>
      <c r="P57" s="4"/>
      <c r="Q57" s="4"/>
      <c r="R57" s="4"/>
      <c r="S57" s="4"/>
      <c r="T57" s="4"/>
      <c r="U57" s="4"/>
      <c r="V57" s="4"/>
      <c r="W57" s="4"/>
    </row>
    <row r="58" spans="1:23" x14ac:dyDescent="0.2">
      <c r="A58" s="2"/>
      <c r="B58" s="3"/>
      <c r="C58" s="3"/>
      <c r="D58" s="3"/>
      <c r="E58" s="3"/>
      <c r="F58" s="3"/>
      <c r="G58" s="3"/>
      <c r="H58" s="3"/>
      <c r="I58" s="3"/>
      <c r="J58" s="3"/>
      <c r="K58" s="3"/>
      <c r="L58" s="3"/>
      <c r="M58" s="3"/>
      <c r="N58" s="3"/>
      <c r="O58" s="3"/>
      <c r="P58" s="3"/>
    </row>
    <row r="59" spans="1:23" x14ac:dyDescent="0.2">
      <c r="A59" s="2"/>
    </row>
  </sheetData>
  <pageMargins left="0.7" right="0.7" top="0.75" bottom="0.75" header="0.3" footer="0.3"/>
  <pageSetup orientation="portrait" r:id="rId1"/>
  <ignoredErrors>
    <ignoredError sqref="Q46:T52 O24:T28 I24:J24 F25:J28 E24:H24 N50 P46:P52 E53:P56 E46:O49 E51:O52 E50:M50 O50" formulaRange="1"/>
    <ignoredError sqref="C41:C45" formula="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7" width="10.7109375" style="1" customWidth="1"/>
    <col min="18" max="16384" width="9.140625" style="1"/>
  </cols>
  <sheetData>
    <row r="1" spans="1:27" x14ac:dyDescent="0.2">
      <c r="AA1" s="1" t="s">
        <v>117</v>
      </c>
    </row>
    <row r="2" spans="1:27" x14ac:dyDescent="0.2">
      <c r="A2" s="34" t="s">
        <v>45</v>
      </c>
      <c r="B2" s="1" t="s">
        <v>86</v>
      </c>
    </row>
    <row r="3" spans="1:27" s="35" customFormat="1" x14ac:dyDescent="0.2">
      <c r="A3" s="36" t="s">
        <v>43</v>
      </c>
      <c r="B3" s="35" t="s">
        <v>116</v>
      </c>
    </row>
    <row r="4" spans="1:27" x14ac:dyDescent="0.2">
      <c r="A4" s="34" t="s">
        <v>41</v>
      </c>
      <c r="B4" s="1" t="s">
        <v>40</v>
      </c>
    </row>
    <row r="5" spans="1:27" x14ac:dyDescent="0.2">
      <c r="A5" s="34" t="s">
        <v>39</v>
      </c>
    </row>
    <row r="6" spans="1:27" x14ac:dyDescent="0.2">
      <c r="A6" s="34" t="s">
        <v>38</v>
      </c>
      <c r="B6" s="1">
        <v>2</v>
      </c>
    </row>
    <row r="7" spans="1:27" x14ac:dyDescent="0.2">
      <c r="A7" s="34" t="s">
        <v>37</v>
      </c>
      <c r="B7" s="1" t="s">
        <v>382</v>
      </c>
    </row>
    <row r="8" spans="1:27" x14ac:dyDescent="0.2">
      <c r="A8" s="34" t="s">
        <v>281</v>
      </c>
      <c r="B8" s="1" t="s">
        <v>310</v>
      </c>
    </row>
    <row r="9" spans="1:27" x14ac:dyDescent="0.2">
      <c r="A9" s="22"/>
    </row>
    <row r="10" spans="1:27" x14ac:dyDescent="0.2">
      <c r="A10" s="22" t="s">
        <v>36</v>
      </c>
      <c r="B10" s="33">
        <v>44012</v>
      </c>
      <c r="C10" s="33">
        <v>43921</v>
      </c>
      <c r="D10" s="33">
        <v>43830</v>
      </c>
      <c r="E10" s="33">
        <v>43738</v>
      </c>
      <c r="F10" s="33">
        <v>43646</v>
      </c>
      <c r="G10" s="33">
        <v>43555</v>
      </c>
      <c r="H10" s="33">
        <v>43465</v>
      </c>
      <c r="I10" s="33">
        <v>43373</v>
      </c>
      <c r="J10" s="33">
        <v>43281</v>
      </c>
      <c r="K10" s="33">
        <v>43189</v>
      </c>
      <c r="L10" s="33">
        <v>43100</v>
      </c>
      <c r="M10" s="33">
        <v>43008</v>
      </c>
      <c r="N10" s="33">
        <v>42916</v>
      </c>
      <c r="O10" s="33">
        <v>42825</v>
      </c>
      <c r="P10" s="33">
        <v>42735</v>
      </c>
      <c r="Q10" s="33">
        <v>42643</v>
      </c>
    </row>
    <row r="12" spans="1:27" x14ac:dyDescent="0.2">
      <c r="A12" s="15" t="s">
        <v>35</v>
      </c>
      <c r="B12" s="19">
        <v>1365</v>
      </c>
      <c r="C12" s="19">
        <v>1439</v>
      </c>
      <c r="D12" s="19">
        <f>6072-E12-F12-G12</f>
        <v>1707</v>
      </c>
      <c r="E12" s="19">
        <v>1460</v>
      </c>
      <c r="F12" s="19">
        <v>1493</v>
      </c>
      <c r="G12" s="19">
        <v>1412</v>
      </c>
      <c r="H12" s="19">
        <f>5902-I12-J12-K12</f>
        <v>1670</v>
      </c>
      <c r="I12" s="19">
        <v>1425</v>
      </c>
      <c r="J12" s="19">
        <v>1421</v>
      </c>
      <c r="K12" s="19">
        <v>1386</v>
      </c>
      <c r="L12" s="19">
        <f>5779-O12-N12-M12</f>
        <v>1631</v>
      </c>
      <c r="M12" s="19">
        <v>1438</v>
      </c>
      <c r="N12" s="19">
        <v>1405</v>
      </c>
      <c r="O12" s="19">
        <v>1305</v>
      </c>
      <c r="P12" s="19">
        <f>5206-3766</f>
        <v>1440</v>
      </c>
      <c r="Q12" s="19">
        <v>1250</v>
      </c>
    </row>
    <row r="13" spans="1:27" s="28" customFormat="1" x14ac:dyDescent="0.2">
      <c r="A13" s="28" t="s">
        <v>34</v>
      </c>
      <c r="B13" s="28">
        <f t="shared" ref="B13:M13" si="0">+B12/F12-1</f>
        <v>-8.5733422638981871E-2</v>
      </c>
      <c r="C13" s="28">
        <f t="shared" si="0"/>
        <v>1.912181303116145E-2</v>
      </c>
      <c r="D13" s="28">
        <f t="shared" si="0"/>
        <v>2.2155688622754521E-2</v>
      </c>
      <c r="E13" s="28">
        <f t="shared" si="0"/>
        <v>2.4561403508772006E-2</v>
      </c>
      <c r="F13" s="28">
        <f t="shared" si="0"/>
        <v>5.0668543279380751E-2</v>
      </c>
      <c r="G13" s="28">
        <f t="shared" si="0"/>
        <v>1.8759018759018753E-2</v>
      </c>
      <c r="H13" s="28">
        <f t="shared" si="0"/>
        <v>2.3911710606989489E-2</v>
      </c>
      <c r="I13" s="28">
        <f t="shared" si="0"/>
        <v>-9.0403337969402475E-3</v>
      </c>
      <c r="J13" s="28">
        <f t="shared" si="0"/>
        <v>1.1387900355871894E-2</v>
      </c>
      <c r="K13" s="28">
        <f t="shared" si="0"/>
        <v>6.2068965517241281E-2</v>
      </c>
      <c r="L13" s="28">
        <f t="shared" si="0"/>
        <v>0.13263888888888897</v>
      </c>
      <c r="M13" s="28">
        <f t="shared" si="0"/>
        <v>0.15040000000000009</v>
      </c>
    </row>
    <row r="14" spans="1:27"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c r="O14" s="32"/>
      <c r="P14" s="32"/>
      <c r="Q14" s="32"/>
    </row>
    <row r="16" spans="1:27" s="22" customFormat="1" x14ac:dyDescent="0.2">
      <c r="A16" s="30" t="s">
        <v>31</v>
      </c>
      <c r="B16" s="29">
        <f>647-C16</f>
        <v>307</v>
      </c>
      <c r="C16" s="29">
        <v>340</v>
      </c>
      <c r="D16" s="29">
        <f>1409-E16-F16-G16</f>
        <v>415</v>
      </c>
      <c r="E16" s="29">
        <f>994-F16-G16</f>
        <v>349</v>
      </c>
      <c r="F16" s="29">
        <f>645-G16</f>
        <v>366</v>
      </c>
      <c r="G16" s="29">
        <v>279</v>
      </c>
      <c r="H16" s="29">
        <f>1229-I16-J16-K16</f>
        <v>381</v>
      </c>
      <c r="I16" s="29">
        <f>848-J16-K16</f>
        <v>283</v>
      </c>
      <c r="J16" s="29">
        <f>565-K16</f>
        <v>283</v>
      </c>
      <c r="K16" s="29">
        <v>282</v>
      </c>
      <c r="L16" s="29">
        <f>1047-M16-N16-O16</f>
        <v>314</v>
      </c>
      <c r="M16" s="29">
        <f>733-N16-O16</f>
        <v>267</v>
      </c>
      <c r="N16" s="29">
        <f>466-O16</f>
        <v>226</v>
      </c>
      <c r="O16" s="29">
        <v>240</v>
      </c>
      <c r="P16" s="29"/>
      <c r="Q16" s="29"/>
    </row>
    <row r="17" spans="1:17" s="28" customFormat="1" x14ac:dyDescent="0.2">
      <c r="A17" s="28" t="s">
        <v>30</v>
      </c>
      <c r="B17" s="28">
        <f t="shared" ref="B17:O17" si="1">B16/B12</f>
        <v>0.22490842490842491</v>
      </c>
      <c r="C17" s="28">
        <f t="shared" si="1"/>
        <v>0.23627519110493397</v>
      </c>
      <c r="D17" s="28">
        <f t="shared" si="1"/>
        <v>0.24311657879320445</v>
      </c>
      <c r="E17" s="28">
        <f t="shared" si="1"/>
        <v>0.23904109589041095</v>
      </c>
      <c r="F17" s="28">
        <f t="shared" si="1"/>
        <v>0.24514400535833891</v>
      </c>
      <c r="G17" s="28">
        <f t="shared" si="1"/>
        <v>0.19759206798866855</v>
      </c>
      <c r="H17" s="28">
        <f t="shared" si="1"/>
        <v>0.2281437125748503</v>
      </c>
      <c r="I17" s="28">
        <f t="shared" si="1"/>
        <v>0.19859649122807019</v>
      </c>
      <c r="J17" s="28">
        <f t="shared" si="1"/>
        <v>0.199155524278677</v>
      </c>
      <c r="K17" s="28">
        <f t="shared" si="1"/>
        <v>0.20346320346320346</v>
      </c>
      <c r="L17" s="28">
        <f t="shared" si="1"/>
        <v>0.19251992642550583</v>
      </c>
      <c r="M17" s="28">
        <f t="shared" si="1"/>
        <v>0.18567454798331015</v>
      </c>
      <c r="N17" s="28">
        <f t="shared" si="1"/>
        <v>0.16085409252669039</v>
      </c>
      <c r="O17" s="28">
        <f t="shared" si="1"/>
        <v>0.18390804597701149</v>
      </c>
    </row>
    <row r="18" spans="1:17" s="23" customFormat="1" x14ac:dyDescent="0.2"/>
    <row r="19" spans="1:17"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c r="Q19" s="19"/>
    </row>
    <row r="20" spans="1:17" s="23" customFormat="1" x14ac:dyDescent="0.2">
      <c r="A20" s="15" t="s">
        <v>28</v>
      </c>
      <c r="B20" s="19">
        <f>79-C20</f>
        <v>52</v>
      </c>
      <c r="C20" s="19">
        <v>27</v>
      </c>
      <c r="D20" s="19">
        <f>9-E20-F20-G20</f>
        <v>-14</v>
      </c>
      <c r="E20" s="19">
        <f>23-F20-G20</f>
        <v>-12</v>
      </c>
      <c r="F20" s="19">
        <f>35-G20</f>
        <v>2</v>
      </c>
      <c r="G20" s="19">
        <v>33</v>
      </c>
      <c r="H20" s="19">
        <f>96-I20-J20-K20</f>
        <v>24</v>
      </c>
      <c r="I20" s="19">
        <f>72-J20-K20</f>
        <v>43</v>
      </c>
      <c r="J20" s="19">
        <f>29-K20</f>
        <v>12</v>
      </c>
      <c r="K20" s="19">
        <v>17</v>
      </c>
      <c r="L20" s="19">
        <f>148-M20-N20-O20</f>
        <v>29</v>
      </c>
      <c r="M20" s="19">
        <f>119-N20-O20</f>
        <v>32</v>
      </c>
      <c r="N20" s="19">
        <f>87-O20</f>
        <v>45</v>
      </c>
      <c r="O20" s="19">
        <v>42</v>
      </c>
      <c r="P20" s="19"/>
      <c r="Q20" s="19"/>
    </row>
    <row r="21" spans="1:17" s="23" customFormat="1" x14ac:dyDescent="0.2">
      <c r="A21" s="15" t="s">
        <v>18</v>
      </c>
      <c r="B21" s="19">
        <f>0-C21</f>
        <v>-1</v>
      </c>
      <c r="C21" s="19">
        <v>1</v>
      </c>
      <c r="D21" s="19">
        <f>D22-D16-D19-D20</f>
        <v>2</v>
      </c>
      <c r="E21" s="19">
        <f>11-F21-G21</f>
        <v>6</v>
      </c>
      <c r="F21" s="19">
        <f>5-G21</f>
        <v>2</v>
      </c>
      <c r="G21" s="19">
        <v>3</v>
      </c>
      <c r="H21" s="19">
        <f>H22-H16-H19-H20</f>
        <v>-19</v>
      </c>
      <c r="I21" s="19">
        <f>9-J21-K21</f>
        <v>3</v>
      </c>
      <c r="J21" s="19">
        <f>6-K21</f>
        <v>4</v>
      </c>
      <c r="K21" s="19">
        <v>2</v>
      </c>
      <c r="L21" s="19">
        <f>17-M21-N21-O21</f>
        <v>-1</v>
      </c>
      <c r="M21" s="19">
        <f>18-N21-O21</f>
        <v>5</v>
      </c>
      <c r="N21" s="19">
        <f>13-O21</f>
        <v>9</v>
      </c>
      <c r="O21" s="19">
        <v>4</v>
      </c>
      <c r="P21" s="19"/>
      <c r="Q21" s="19"/>
    </row>
    <row r="22" spans="1:17" s="22" customFormat="1" x14ac:dyDescent="0.2">
      <c r="A22" s="22" t="s">
        <v>23</v>
      </c>
      <c r="B22" s="20">
        <f t="shared" ref="B22:O22" si="2">B16+B19+B20+B21</f>
        <v>358</v>
      </c>
      <c r="C22" s="20">
        <f t="shared" si="2"/>
        <v>368</v>
      </c>
      <c r="D22" s="61">
        <f>1431-E22-F22-G22</f>
        <v>403</v>
      </c>
      <c r="E22" s="20">
        <f t="shared" si="2"/>
        <v>343</v>
      </c>
      <c r="F22" s="20">
        <f t="shared" si="2"/>
        <v>370</v>
      </c>
      <c r="G22" s="20">
        <f t="shared" si="2"/>
        <v>315</v>
      </c>
      <c r="H22" s="61">
        <f>1315-I22-J22-K22</f>
        <v>386</v>
      </c>
      <c r="I22" s="20">
        <f t="shared" si="2"/>
        <v>329</v>
      </c>
      <c r="J22" s="20">
        <f t="shared" si="2"/>
        <v>299</v>
      </c>
      <c r="K22" s="20">
        <f t="shared" si="2"/>
        <v>301</v>
      </c>
      <c r="L22" s="20">
        <f t="shared" si="2"/>
        <v>342</v>
      </c>
      <c r="M22" s="20">
        <f t="shared" si="2"/>
        <v>304</v>
      </c>
      <c r="N22" s="20">
        <f t="shared" si="2"/>
        <v>280</v>
      </c>
      <c r="O22" s="20">
        <f t="shared" si="2"/>
        <v>286</v>
      </c>
      <c r="P22" s="20"/>
      <c r="Q22" s="20"/>
    </row>
    <row r="23" spans="1:17" s="22" customFormat="1" x14ac:dyDescent="0.2">
      <c r="B23" s="20"/>
      <c r="C23" s="20"/>
      <c r="D23" s="20"/>
      <c r="E23" s="20"/>
      <c r="F23" s="20"/>
      <c r="G23" s="20"/>
      <c r="H23" s="20"/>
      <c r="I23" s="20"/>
      <c r="J23" s="20"/>
      <c r="K23" s="20"/>
      <c r="L23" s="20"/>
      <c r="M23" s="20"/>
      <c r="N23" s="20"/>
      <c r="O23" s="20"/>
      <c r="P23" s="20"/>
      <c r="Q23" s="20"/>
    </row>
    <row r="24" spans="1:17" s="22" customFormat="1" x14ac:dyDescent="0.2">
      <c r="A24" s="22" t="s">
        <v>27</v>
      </c>
      <c r="B24" s="20">
        <f t="shared" ref="B24:L24" si="3">SUM(B22:E22)</f>
        <v>1472</v>
      </c>
      <c r="C24" s="20">
        <f t="shared" si="3"/>
        <v>1484</v>
      </c>
      <c r="D24" s="20">
        <f t="shared" si="3"/>
        <v>1431</v>
      </c>
      <c r="E24" s="20">
        <f t="shared" si="3"/>
        <v>1414</v>
      </c>
      <c r="F24" s="20">
        <f t="shared" si="3"/>
        <v>1400</v>
      </c>
      <c r="G24" s="20">
        <f t="shared" si="3"/>
        <v>1329</v>
      </c>
      <c r="H24" s="20">
        <f t="shared" si="3"/>
        <v>1315</v>
      </c>
      <c r="I24" s="20">
        <f t="shared" si="3"/>
        <v>1271</v>
      </c>
      <c r="J24" s="20">
        <f t="shared" si="3"/>
        <v>1246</v>
      </c>
      <c r="K24" s="20">
        <f t="shared" si="3"/>
        <v>1227</v>
      </c>
      <c r="L24" s="20">
        <f t="shared" si="3"/>
        <v>1212</v>
      </c>
      <c r="M24" s="20">
        <f>M27+M25+M26</f>
        <v>1202.8879999999999</v>
      </c>
      <c r="N24" s="20"/>
      <c r="O24" s="20"/>
      <c r="P24" s="20"/>
      <c r="Q24" s="20"/>
    </row>
    <row r="25" spans="1:17" s="23" customFormat="1" x14ac:dyDescent="0.2">
      <c r="A25" s="15" t="s">
        <v>26</v>
      </c>
      <c r="B25" s="27">
        <f t="shared" ref="B25:C25" si="4">B27-B24-B26</f>
        <v>90.156999999999925</v>
      </c>
      <c r="C25" s="27">
        <f t="shared" si="4"/>
        <v>100.31799999999998</v>
      </c>
      <c r="D25" s="27">
        <f t="shared" ref="D25:L25" si="5">D27-D24-D26</f>
        <v>110.202</v>
      </c>
      <c r="E25" s="27">
        <f t="shared" si="5"/>
        <v>112.59699999999998</v>
      </c>
      <c r="F25" s="27">
        <f t="shared" si="5"/>
        <v>104.05799999999999</v>
      </c>
      <c r="G25" s="27">
        <f t="shared" si="5"/>
        <v>106.45100000000002</v>
      </c>
      <c r="H25" s="27">
        <f t="shared" si="5"/>
        <v>103.50399999999991</v>
      </c>
      <c r="I25" s="27">
        <f t="shared" si="5"/>
        <v>86.536000000000058</v>
      </c>
      <c r="J25" s="27">
        <f t="shared" si="5"/>
        <v>83.113000000000056</v>
      </c>
      <c r="K25" s="27">
        <f t="shared" si="5"/>
        <v>89.626999999999953</v>
      </c>
      <c r="L25" s="27">
        <f t="shared" si="5"/>
        <v>84.788999999999987</v>
      </c>
      <c r="M25" s="27">
        <v>0</v>
      </c>
      <c r="N25" s="27"/>
      <c r="O25" s="27"/>
      <c r="P25" s="27"/>
      <c r="Q25" s="27"/>
    </row>
    <row r="26" spans="1:17" s="23" customFormat="1" x14ac:dyDescent="0.2">
      <c r="A26" s="15" t="s">
        <v>25</v>
      </c>
      <c r="B26" s="21">
        <v>0</v>
      </c>
      <c r="C26" s="21">
        <v>0</v>
      </c>
      <c r="D26" s="21">
        <v>0</v>
      </c>
      <c r="E26" s="21">
        <v>0</v>
      </c>
      <c r="F26" s="21">
        <v>0</v>
      </c>
      <c r="G26" s="21">
        <v>0</v>
      </c>
      <c r="H26" s="21">
        <v>0</v>
      </c>
      <c r="I26" s="21">
        <v>0</v>
      </c>
      <c r="J26" s="21">
        <v>0</v>
      </c>
      <c r="K26" s="21">
        <v>0</v>
      </c>
      <c r="L26" s="21">
        <v>0</v>
      </c>
      <c r="M26" s="21">
        <v>0</v>
      </c>
      <c r="N26" s="21"/>
      <c r="O26" s="21"/>
      <c r="P26" s="21"/>
      <c r="Q26" s="21"/>
    </row>
    <row r="27" spans="1:17" s="24" customFormat="1" x14ac:dyDescent="0.2">
      <c r="A27" s="22" t="s">
        <v>24</v>
      </c>
      <c r="B27" s="61">
        <v>1562.1569999999999</v>
      </c>
      <c r="C27" s="61">
        <v>1584.318</v>
      </c>
      <c r="D27" s="61">
        <v>1541.202</v>
      </c>
      <c r="E27" s="61">
        <v>1526.597</v>
      </c>
      <c r="F27" s="61">
        <f>1504.058</f>
        <v>1504.058</v>
      </c>
      <c r="G27" s="61">
        <v>1435.451</v>
      </c>
      <c r="H27" s="61">
        <v>1418.5039999999999</v>
      </c>
      <c r="I27" s="61">
        <f>1357.536</f>
        <v>1357.5360000000001</v>
      </c>
      <c r="J27" s="61">
        <v>1329.1130000000001</v>
      </c>
      <c r="K27" s="61">
        <v>1316.627</v>
      </c>
      <c r="L27" s="61">
        <v>1296.789</v>
      </c>
      <c r="M27" s="61">
        <v>1202.8879999999999</v>
      </c>
      <c r="N27" s="20"/>
      <c r="O27" s="20"/>
      <c r="P27" s="20"/>
      <c r="Q27" s="20"/>
    </row>
    <row r="28" spans="1:17" s="23" customFormat="1" x14ac:dyDescent="0.2"/>
    <row r="29" spans="1:17" s="22" customFormat="1" x14ac:dyDescent="0.2">
      <c r="A29" s="22" t="s">
        <v>23</v>
      </c>
      <c r="B29" s="20">
        <f t="shared" ref="B29:O29" si="6">B22</f>
        <v>358</v>
      </c>
      <c r="C29" s="20">
        <f t="shared" si="6"/>
        <v>368</v>
      </c>
      <c r="D29" s="20">
        <f t="shared" si="6"/>
        <v>403</v>
      </c>
      <c r="E29" s="20">
        <f t="shared" si="6"/>
        <v>343</v>
      </c>
      <c r="F29" s="20">
        <f t="shared" si="6"/>
        <v>370</v>
      </c>
      <c r="G29" s="20">
        <f t="shared" si="6"/>
        <v>315</v>
      </c>
      <c r="H29" s="20">
        <f t="shared" si="6"/>
        <v>386</v>
      </c>
      <c r="I29" s="20">
        <f t="shared" si="6"/>
        <v>329</v>
      </c>
      <c r="J29" s="20">
        <f t="shared" si="6"/>
        <v>299</v>
      </c>
      <c r="K29" s="20">
        <f t="shared" si="6"/>
        <v>301</v>
      </c>
      <c r="L29" s="20">
        <f t="shared" si="6"/>
        <v>342</v>
      </c>
      <c r="M29" s="20">
        <f t="shared" si="6"/>
        <v>304</v>
      </c>
      <c r="N29" s="20">
        <f t="shared" si="6"/>
        <v>280</v>
      </c>
      <c r="O29" s="20">
        <f t="shared" si="6"/>
        <v>286</v>
      </c>
      <c r="P29" s="20"/>
      <c r="Q29" s="20"/>
    </row>
    <row r="30" spans="1:17" s="11" customFormat="1" x14ac:dyDescent="0.2">
      <c r="A30" s="19" t="s">
        <v>22</v>
      </c>
      <c r="B30" s="19">
        <f>-70-C30</f>
        <v>-33</v>
      </c>
      <c r="C30" s="19">
        <v>-37</v>
      </c>
      <c r="D30" s="19">
        <f>-147-E30-F30-G30</f>
        <v>-83</v>
      </c>
      <c r="E30" s="19">
        <f>-64-F30-G30</f>
        <v>-34</v>
      </c>
      <c r="F30" s="19">
        <f>-30-G30</f>
        <v>4</v>
      </c>
      <c r="G30" s="19">
        <v>-34</v>
      </c>
      <c r="H30" s="19">
        <f>-104-I30-J30-K30</f>
        <v>-22</v>
      </c>
      <c r="I30" s="19">
        <f>-82-J30-K30</f>
        <v>-31</v>
      </c>
      <c r="J30" s="19">
        <f>-51-K30</f>
        <v>-13</v>
      </c>
      <c r="K30" s="19">
        <v>-38</v>
      </c>
      <c r="L30" s="19">
        <f>-102-M30-N30-O30</f>
        <v>-27</v>
      </c>
      <c r="M30" s="19">
        <f>-75-O30-N30</f>
        <v>23</v>
      </c>
      <c r="N30" s="19">
        <f>-98-O30</f>
        <v>-74</v>
      </c>
      <c r="O30" s="19">
        <v>-24</v>
      </c>
      <c r="P30" s="19"/>
      <c r="Q30" s="19"/>
    </row>
    <row r="31" spans="1:17" s="11" customFormat="1" x14ac:dyDescent="0.2">
      <c r="A31" s="19" t="s">
        <v>21</v>
      </c>
      <c r="B31" s="19">
        <f>-84-C31</f>
        <v>-31</v>
      </c>
      <c r="C31" s="19">
        <v>-53</v>
      </c>
      <c r="D31" s="19">
        <f>-213-E31-F31-G31</f>
        <v>-43</v>
      </c>
      <c r="E31" s="19">
        <f>-170-F31-G31</f>
        <v>-81</v>
      </c>
      <c r="F31" s="19">
        <f>-89-G31</f>
        <v>-62</v>
      </c>
      <c r="G31" s="19">
        <v>-27</v>
      </c>
      <c r="H31" s="19">
        <f>-231-I31-J31-K31</f>
        <v>-92</v>
      </c>
      <c r="I31" s="19">
        <f>-139-J31-K31</f>
        <v>-74</v>
      </c>
      <c r="J31" s="19">
        <f>-65-K31</f>
        <v>-36</v>
      </c>
      <c r="K31" s="19">
        <v>-29</v>
      </c>
      <c r="L31" s="19">
        <f>-123-O31-N31-M31</f>
        <v>-39</v>
      </c>
      <c r="M31" s="19">
        <f>-84-O31-N31</f>
        <v>-33</v>
      </c>
      <c r="N31" s="19">
        <f>-51-O31</f>
        <v>-33</v>
      </c>
      <c r="O31" s="19">
        <v>-18</v>
      </c>
      <c r="P31" s="19"/>
      <c r="Q31" s="19"/>
    </row>
    <row r="32" spans="1:17" s="11" customFormat="1" x14ac:dyDescent="0.2">
      <c r="A32" s="19" t="s">
        <v>20</v>
      </c>
      <c r="B32" s="19">
        <f>-42-C32</f>
        <v>69</v>
      </c>
      <c r="C32" s="19">
        <f>-79-32</f>
        <v>-111</v>
      </c>
      <c r="D32" s="19">
        <f>105-E32-F32-G32</f>
        <v>151</v>
      </c>
      <c r="E32" s="19">
        <f>-46-F32-G32</f>
        <v>-78</v>
      </c>
      <c r="F32" s="19">
        <f>32-G32</f>
        <v>26</v>
      </c>
      <c r="G32" s="19">
        <f>72-66</f>
        <v>6</v>
      </c>
      <c r="H32" s="19">
        <f>282-I32-J32-K32</f>
        <v>191</v>
      </c>
      <c r="I32" s="19">
        <f>91-J32-K32</f>
        <v>-18</v>
      </c>
      <c r="J32" s="19">
        <f>109-K32</f>
        <v>146</v>
      </c>
      <c r="K32" s="19">
        <v>-37</v>
      </c>
      <c r="L32" s="19">
        <f>16-M32-N32-O32</f>
        <v>104</v>
      </c>
      <c r="M32" s="19">
        <f>-88-O32-N32</f>
        <v>-21</v>
      </c>
      <c r="N32" s="19">
        <f>-67-O32</f>
        <v>-98</v>
      </c>
      <c r="O32" s="19">
        <v>31</v>
      </c>
      <c r="P32" s="19"/>
      <c r="Q32" s="19"/>
    </row>
    <row r="33" spans="1:17"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c r="Q33" s="19"/>
    </row>
    <row r="34" spans="1:17"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c r="Q34" s="21"/>
    </row>
    <row r="35" spans="1:17" s="20" customFormat="1" x14ac:dyDescent="0.2">
      <c r="A35" s="20" t="s">
        <v>17</v>
      </c>
      <c r="B35" s="20">
        <f>503-C35+B30+C30</f>
        <v>285</v>
      </c>
      <c r="C35" s="20">
        <f>185+C30</f>
        <v>148</v>
      </c>
      <c r="D35" s="20">
        <f>1293-E35-F35-G35+D30+E30+F30+G30</f>
        <v>504</v>
      </c>
      <c r="E35" s="20">
        <f>706+E30+F30+G30-F35-G35</f>
        <v>160</v>
      </c>
      <c r="F35" s="20">
        <f>512-G35+F30+G30</f>
        <v>262</v>
      </c>
      <c r="G35" s="20">
        <f>254+G30</f>
        <v>220</v>
      </c>
      <c r="H35" s="20">
        <f>1256-I35-J35-K35+K30+J30+I30+H30</f>
        <v>450</v>
      </c>
      <c r="I35" s="20">
        <f>784-J35-K35+I30+J30+K30</f>
        <v>262</v>
      </c>
      <c r="J35" s="20">
        <f>491-K35+J30+K30</f>
        <v>268</v>
      </c>
      <c r="K35" s="20">
        <f>210-38</f>
        <v>172</v>
      </c>
      <c r="L35" s="20">
        <f>876-102-O35-N35-M35</f>
        <v>304</v>
      </c>
      <c r="M35" s="20">
        <f>545-O35-N35+M30+N30+O30</f>
        <v>186</v>
      </c>
      <c r="N35" s="20">
        <f>382-O35+N30+O30</f>
        <v>53</v>
      </c>
      <c r="O35" s="20">
        <f>255+O30</f>
        <v>231</v>
      </c>
    </row>
    <row r="36" spans="1:17" s="11" customFormat="1" x14ac:dyDescent="0.2">
      <c r="A36" s="19" t="s">
        <v>16</v>
      </c>
      <c r="B36" s="21">
        <f>-85-C36</f>
        <v>-43</v>
      </c>
      <c r="C36" s="21">
        <v>-42</v>
      </c>
      <c r="D36" s="21">
        <f>-224-E36-F36-G36</f>
        <v>-91</v>
      </c>
      <c r="E36" s="21">
        <f>-133-F36-G36</f>
        <v>-48</v>
      </c>
      <c r="F36" s="21">
        <f>-85-G36</f>
        <v>-52</v>
      </c>
      <c r="G36" s="21">
        <v>-33</v>
      </c>
      <c r="H36" s="21">
        <f>-237-I36-J36-K36</f>
        <v>-82</v>
      </c>
      <c r="I36" s="21">
        <f>-155-J36-K36</f>
        <v>-61</v>
      </c>
      <c r="J36" s="21">
        <f>-94-K36</f>
        <v>-57</v>
      </c>
      <c r="K36" s="21">
        <v>-37</v>
      </c>
      <c r="L36" s="21">
        <f>-197-O36-N36-M36</f>
        <v>-84</v>
      </c>
      <c r="M36" s="21">
        <f>-113-O36-N36</f>
        <v>-48</v>
      </c>
      <c r="N36" s="21">
        <f>-65-O36</f>
        <v>-42</v>
      </c>
      <c r="O36" s="21">
        <v>-23</v>
      </c>
      <c r="P36" s="21"/>
      <c r="Q36" s="21"/>
    </row>
    <row r="37" spans="1:17" s="20" customFormat="1" x14ac:dyDescent="0.2">
      <c r="A37" s="20" t="s">
        <v>15</v>
      </c>
      <c r="B37" s="20">
        <f t="shared" ref="B37:O37" si="7">B35+B36</f>
        <v>242</v>
      </c>
      <c r="C37" s="20">
        <f t="shared" si="7"/>
        <v>106</v>
      </c>
      <c r="D37" s="20">
        <f t="shared" si="7"/>
        <v>413</v>
      </c>
      <c r="E37" s="20">
        <f t="shared" si="7"/>
        <v>112</v>
      </c>
      <c r="F37" s="20">
        <f t="shared" si="7"/>
        <v>210</v>
      </c>
      <c r="G37" s="20">
        <f t="shared" si="7"/>
        <v>187</v>
      </c>
      <c r="H37" s="20">
        <f t="shared" si="7"/>
        <v>368</v>
      </c>
      <c r="I37" s="20">
        <f t="shared" si="7"/>
        <v>201</v>
      </c>
      <c r="J37" s="20">
        <f t="shared" si="7"/>
        <v>211</v>
      </c>
      <c r="K37" s="20">
        <f t="shared" si="7"/>
        <v>135</v>
      </c>
      <c r="L37" s="20">
        <f t="shared" si="7"/>
        <v>220</v>
      </c>
      <c r="M37" s="20">
        <f t="shared" si="7"/>
        <v>138</v>
      </c>
      <c r="N37" s="20">
        <f t="shared" si="7"/>
        <v>11</v>
      </c>
      <c r="O37" s="20">
        <f t="shared" si="7"/>
        <v>208</v>
      </c>
    </row>
    <row r="38" spans="1:17" x14ac:dyDescent="0.2">
      <c r="B38" s="11"/>
      <c r="C38" s="11"/>
      <c r="D38" s="11"/>
      <c r="F38" s="11"/>
    </row>
    <row r="39" spans="1:17" s="16" customFormat="1" x14ac:dyDescent="0.2">
      <c r="A39" s="18" t="s">
        <v>14</v>
      </c>
      <c r="B39" s="19">
        <v>0</v>
      </c>
      <c r="C39" s="19">
        <v>0</v>
      </c>
      <c r="D39" s="19">
        <v>0</v>
      </c>
      <c r="E39" s="19">
        <v>0</v>
      </c>
      <c r="F39" s="19">
        <v>0</v>
      </c>
      <c r="G39" s="19">
        <v>0</v>
      </c>
      <c r="H39" s="19">
        <v>0</v>
      </c>
      <c r="I39" s="19">
        <v>0</v>
      </c>
      <c r="J39" s="19">
        <v>0</v>
      </c>
      <c r="K39" s="19">
        <v>0</v>
      </c>
      <c r="L39" s="19">
        <v>0</v>
      </c>
      <c r="M39" s="19"/>
      <c r="N39" s="19"/>
      <c r="O39" s="19"/>
      <c r="P39" s="19">
        <v>0</v>
      </c>
      <c r="Q39" s="19"/>
    </row>
    <row r="40" spans="1:17" s="16" customFormat="1" x14ac:dyDescent="0.2">
      <c r="A40" s="18" t="s">
        <v>13</v>
      </c>
      <c r="B40" s="19">
        <v>5005.0640000000003</v>
      </c>
      <c r="C40" s="19">
        <v>5011.8059999999996</v>
      </c>
      <c r="D40" s="19">
        <v>5098</v>
      </c>
      <c r="E40" s="19">
        <v>5298.6679999999997</v>
      </c>
      <c r="F40" s="19">
        <v>5296.3869999999997</v>
      </c>
      <c r="G40" s="19">
        <v>5445.4139999999998</v>
      </c>
      <c r="H40" s="19">
        <v>5569</v>
      </c>
      <c r="I40" s="19">
        <v>5689</v>
      </c>
      <c r="J40" s="19">
        <v>5722.8850000000002</v>
      </c>
      <c r="K40" s="19">
        <v>5896</v>
      </c>
      <c r="L40" s="19">
        <f>5951.232+2.049</f>
        <v>5953.2809999999999</v>
      </c>
      <c r="M40" s="19"/>
      <c r="N40" s="19"/>
      <c r="O40" s="19"/>
      <c r="P40" s="19">
        <v>5854</v>
      </c>
      <c r="Q40" s="19"/>
    </row>
    <row r="41" spans="1:17" s="16" customFormat="1" x14ac:dyDescent="0.2">
      <c r="A41" s="18" t="s">
        <v>12</v>
      </c>
      <c r="B41" s="19">
        <f t="shared" ref="B41:L41" si="8">B39+B40</f>
        <v>5005.0640000000003</v>
      </c>
      <c r="C41" s="19">
        <f t="shared" si="8"/>
        <v>5011.8059999999996</v>
      </c>
      <c r="D41" s="19">
        <f t="shared" si="8"/>
        <v>5098</v>
      </c>
      <c r="E41" s="19">
        <f t="shared" si="8"/>
        <v>5298.6679999999997</v>
      </c>
      <c r="F41" s="19">
        <f t="shared" si="8"/>
        <v>5296.3869999999997</v>
      </c>
      <c r="G41" s="19">
        <f t="shared" si="8"/>
        <v>5445.4139999999998</v>
      </c>
      <c r="H41" s="19">
        <f t="shared" si="8"/>
        <v>5569</v>
      </c>
      <c r="I41" s="19">
        <f t="shared" si="8"/>
        <v>5689</v>
      </c>
      <c r="J41" s="19">
        <f t="shared" si="8"/>
        <v>5722.8850000000002</v>
      </c>
      <c r="K41" s="19">
        <f t="shared" si="8"/>
        <v>5896</v>
      </c>
      <c r="L41" s="19">
        <f t="shared" si="8"/>
        <v>5953.2809999999999</v>
      </c>
      <c r="M41" s="19"/>
      <c r="N41" s="19"/>
      <c r="O41" s="19"/>
      <c r="P41" s="19">
        <f>P39+P40</f>
        <v>5854</v>
      </c>
      <c r="Q41" s="19"/>
    </row>
    <row r="42" spans="1:17" s="16" customFormat="1" x14ac:dyDescent="0.2">
      <c r="A42" s="18" t="s">
        <v>11</v>
      </c>
      <c r="B42" s="17"/>
      <c r="C42" s="17"/>
      <c r="D42" s="17"/>
      <c r="E42" s="17"/>
      <c r="F42" s="17"/>
      <c r="G42" s="17"/>
      <c r="H42" s="17"/>
      <c r="I42" s="17"/>
      <c r="J42" s="17"/>
      <c r="K42" s="17"/>
      <c r="L42" s="17"/>
      <c r="M42" s="17"/>
      <c r="N42" s="17"/>
      <c r="O42" s="17"/>
      <c r="P42" s="17">
        <v>0</v>
      </c>
      <c r="Q42" s="17"/>
    </row>
    <row r="43" spans="1:17" x14ac:dyDescent="0.2">
      <c r="B43" s="16"/>
      <c r="C43" s="16"/>
      <c r="D43" s="16"/>
      <c r="E43" s="16"/>
      <c r="F43" s="16"/>
      <c r="G43" s="16"/>
      <c r="H43" s="16"/>
      <c r="I43" s="16"/>
      <c r="J43" s="16"/>
      <c r="K43" s="16"/>
      <c r="L43" s="16"/>
      <c r="M43" s="16"/>
      <c r="N43" s="16"/>
      <c r="O43" s="16"/>
      <c r="P43" s="16"/>
      <c r="Q43" s="16"/>
    </row>
    <row r="44" spans="1:17" x14ac:dyDescent="0.2">
      <c r="A44" s="15" t="s">
        <v>10</v>
      </c>
      <c r="B44" s="27">
        <v>697</v>
      </c>
      <c r="C44" s="27">
        <v>456</v>
      </c>
      <c r="D44" s="27">
        <v>674</v>
      </c>
      <c r="E44" s="27">
        <v>500</v>
      </c>
      <c r="F44" s="27">
        <v>376.96600000000001</v>
      </c>
      <c r="G44" s="27">
        <v>393</v>
      </c>
      <c r="H44" s="27">
        <v>577</v>
      </c>
      <c r="I44" s="27">
        <v>548</v>
      </c>
      <c r="J44" s="27">
        <v>327</v>
      </c>
      <c r="K44" s="27">
        <v>361</v>
      </c>
      <c r="L44" s="27">
        <v>775</v>
      </c>
      <c r="M44" s="27">
        <v>642</v>
      </c>
      <c r="N44" s="27"/>
      <c r="O44" s="27"/>
      <c r="P44" s="27">
        <v>510</v>
      </c>
      <c r="Q44" s="27"/>
    </row>
    <row r="46" spans="1:17" x14ac:dyDescent="0.2">
      <c r="A46" s="1" t="s">
        <v>9</v>
      </c>
      <c r="B46" s="13">
        <f t="shared" ref="B46:N46" si="9">SUM(B12:E12)</f>
        <v>5971</v>
      </c>
      <c r="C46" s="13">
        <f t="shared" si="9"/>
        <v>6099</v>
      </c>
      <c r="D46" s="13">
        <f t="shared" si="9"/>
        <v>6072</v>
      </c>
      <c r="E46" s="13">
        <f t="shared" si="9"/>
        <v>6035</v>
      </c>
      <c r="F46" s="13">
        <f t="shared" si="9"/>
        <v>6000</v>
      </c>
      <c r="G46" s="13">
        <f t="shared" si="9"/>
        <v>5928</v>
      </c>
      <c r="H46" s="13">
        <f t="shared" si="9"/>
        <v>5902</v>
      </c>
      <c r="I46" s="13">
        <f t="shared" si="9"/>
        <v>5863</v>
      </c>
      <c r="J46" s="13">
        <f t="shared" si="9"/>
        <v>5876</v>
      </c>
      <c r="K46" s="13">
        <f t="shared" si="9"/>
        <v>5860</v>
      </c>
      <c r="L46" s="13">
        <f t="shared" si="9"/>
        <v>5779</v>
      </c>
      <c r="M46" s="13">
        <f t="shared" si="9"/>
        <v>5588</v>
      </c>
      <c r="N46" s="13">
        <f t="shared" si="9"/>
        <v>5400</v>
      </c>
      <c r="O46" s="12"/>
      <c r="P46" s="12">
        <v>5206</v>
      </c>
      <c r="Q46" s="11"/>
    </row>
    <row r="47" spans="1:17" x14ac:dyDescent="0.2">
      <c r="A47" s="1" t="s">
        <v>8</v>
      </c>
      <c r="B47" s="13">
        <f t="shared" ref="B47" si="10">B27</f>
        <v>1562.1569999999999</v>
      </c>
      <c r="C47" s="13">
        <f t="shared" ref="C47:D47" si="11">C27</f>
        <v>1584.318</v>
      </c>
      <c r="D47" s="13">
        <f t="shared" si="11"/>
        <v>1541.202</v>
      </c>
      <c r="E47" s="13">
        <f t="shared" ref="E47:F47" si="12">E27</f>
        <v>1526.597</v>
      </c>
      <c r="F47" s="13">
        <f t="shared" si="12"/>
        <v>1504.058</v>
      </c>
      <c r="G47" s="13">
        <f t="shared" ref="G47:L47" si="13">G27</f>
        <v>1435.451</v>
      </c>
      <c r="H47" s="13">
        <f t="shared" si="13"/>
        <v>1418.5039999999999</v>
      </c>
      <c r="I47" s="13">
        <f t="shared" si="13"/>
        <v>1357.5360000000001</v>
      </c>
      <c r="J47" s="13">
        <f t="shared" si="13"/>
        <v>1329.1130000000001</v>
      </c>
      <c r="K47" s="13">
        <f t="shared" si="13"/>
        <v>1316.627</v>
      </c>
      <c r="L47" s="13">
        <f t="shared" si="13"/>
        <v>1296.789</v>
      </c>
      <c r="M47" s="12"/>
      <c r="N47" s="12"/>
      <c r="O47" s="12"/>
      <c r="P47" s="12">
        <v>1196</v>
      </c>
      <c r="Q47" s="11"/>
    </row>
    <row r="48" spans="1:17" x14ac:dyDescent="0.2">
      <c r="A48" s="1" t="s">
        <v>7</v>
      </c>
      <c r="B48" s="13">
        <f t="shared" ref="B48:L48" si="14">SUM(B37:E37)</f>
        <v>873</v>
      </c>
      <c r="C48" s="13">
        <f t="shared" si="14"/>
        <v>841</v>
      </c>
      <c r="D48" s="13">
        <f t="shared" si="14"/>
        <v>922</v>
      </c>
      <c r="E48" s="13">
        <f t="shared" si="14"/>
        <v>877</v>
      </c>
      <c r="F48" s="13">
        <f t="shared" si="14"/>
        <v>966</v>
      </c>
      <c r="G48" s="13">
        <f t="shared" si="14"/>
        <v>967</v>
      </c>
      <c r="H48" s="13">
        <f t="shared" si="14"/>
        <v>915</v>
      </c>
      <c r="I48" s="13">
        <f t="shared" si="14"/>
        <v>767</v>
      </c>
      <c r="J48" s="13">
        <f t="shared" si="14"/>
        <v>704</v>
      </c>
      <c r="K48" s="13">
        <f t="shared" si="14"/>
        <v>504</v>
      </c>
      <c r="L48" s="13">
        <f t="shared" si="14"/>
        <v>577</v>
      </c>
      <c r="M48" s="12"/>
      <c r="N48" s="12"/>
      <c r="O48" s="12"/>
      <c r="P48" s="12">
        <v>751.5</v>
      </c>
      <c r="Q48" s="11"/>
    </row>
    <row r="50" spans="1:17" s="10" customFormat="1" x14ac:dyDescent="0.2">
      <c r="A50" s="10" t="s">
        <v>6</v>
      </c>
      <c r="B50" s="10">
        <f t="shared" ref="B50" si="15">+SUM(B39:B40)/B47</f>
        <v>3.2039442898505084</v>
      </c>
      <c r="C50" s="10">
        <f t="shared" ref="C50:D50" si="16">+SUM(C39:C40)/C47</f>
        <v>3.1633838661177869</v>
      </c>
      <c r="D50" s="10">
        <f t="shared" si="16"/>
        <v>3.3078078019623645</v>
      </c>
      <c r="E50" s="10">
        <f t="shared" ref="E50:F50" si="17">+SUM(E39:E40)/E47</f>
        <v>3.4709016197464031</v>
      </c>
      <c r="F50" s="10">
        <f t="shared" si="17"/>
        <v>3.5213981109771031</v>
      </c>
      <c r="G50" s="10">
        <f t="shared" ref="G50:L50" si="18">+SUM(G39:G40)/G47</f>
        <v>3.7935213392863982</v>
      </c>
      <c r="H50" s="10">
        <f t="shared" si="18"/>
        <v>3.9259670751721534</v>
      </c>
      <c r="I50" s="10">
        <f t="shared" si="18"/>
        <v>4.1906807627937672</v>
      </c>
      <c r="J50" s="10">
        <f t="shared" si="18"/>
        <v>4.3057926602177545</v>
      </c>
      <c r="K50" s="10">
        <f t="shared" si="18"/>
        <v>4.4781095936814301</v>
      </c>
      <c r="L50" s="10">
        <f t="shared" si="18"/>
        <v>4.5907861649042365</v>
      </c>
      <c r="P50" s="10">
        <f>+SUM(P39:P40)/P47</f>
        <v>4.8946488294314383</v>
      </c>
    </row>
    <row r="51" spans="1:17" s="10" customFormat="1" x14ac:dyDescent="0.2">
      <c r="A51" s="10" t="s">
        <v>5</v>
      </c>
      <c r="B51" s="10">
        <f t="shared" ref="B51" si="19">+B41/B47</f>
        <v>3.2039442898505084</v>
      </c>
      <c r="C51" s="10">
        <f t="shared" ref="C51:D51" si="20">+C41/C47</f>
        <v>3.1633838661177869</v>
      </c>
      <c r="D51" s="10">
        <f t="shared" si="20"/>
        <v>3.3078078019623645</v>
      </c>
      <c r="E51" s="10">
        <f t="shared" ref="E51:F51" si="21">+E41/E47</f>
        <v>3.4709016197464031</v>
      </c>
      <c r="F51" s="10">
        <f t="shared" si="21"/>
        <v>3.5213981109771031</v>
      </c>
      <c r="G51" s="10">
        <f t="shared" ref="G51:L51" si="22">+G41/G47</f>
        <v>3.7935213392863982</v>
      </c>
      <c r="H51" s="10">
        <f t="shared" si="22"/>
        <v>3.9259670751721534</v>
      </c>
      <c r="I51" s="10">
        <f t="shared" si="22"/>
        <v>4.1906807627937672</v>
      </c>
      <c r="J51" s="10">
        <f t="shared" si="22"/>
        <v>4.3057926602177545</v>
      </c>
      <c r="K51" s="10">
        <f t="shared" si="22"/>
        <v>4.4781095936814301</v>
      </c>
      <c r="L51" s="10">
        <f t="shared" si="22"/>
        <v>4.5907861649042365</v>
      </c>
      <c r="P51" s="10">
        <f>+P41/P47</f>
        <v>4.8946488294314383</v>
      </c>
    </row>
    <row r="52" spans="1:17" s="10" customFormat="1" x14ac:dyDescent="0.2">
      <c r="A52" s="10" t="s">
        <v>4</v>
      </c>
      <c r="B52" s="10">
        <f t="shared" ref="B52" si="23">+(B41-B44)/B47</f>
        <v>2.7577663448680259</v>
      </c>
      <c r="C52" s="10">
        <f t="shared" ref="C52:D52" si="24">+(C41-C44)/C47</f>
        <v>2.8755628604863417</v>
      </c>
      <c r="D52" s="10">
        <f t="shared" si="24"/>
        <v>2.8704868018598471</v>
      </c>
      <c r="E52" s="10">
        <f t="shared" ref="E52:F52" si="25">+(E41-E44)/E47</f>
        <v>3.1433757566666252</v>
      </c>
      <c r="F52" s="10">
        <f t="shared" si="25"/>
        <v>3.2707654890968296</v>
      </c>
      <c r="G52" s="10">
        <f t="shared" ref="G52:L52" si="26">+(G41-G44)/G47</f>
        <v>3.5197397890976423</v>
      </c>
      <c r="H52" s="10">
        <f t="shared" si="26"/>
        <v>3.5192005098328947</v>
      </c>
      <c r="I52" s="10">
        <f t="shared" si="26"/>
        <v>3.7870082266694953</v>
      </c>
      <c r="J52" s="10">
        <f t="shared" si="26"/>
        <v>4.0597639177406286</v>
      </c>
      <c r="K52" s="10">
        <f t="shared" si="26"/>
        <v>4.2039241182202707</v>
      </c>
      <c r="L52" s="10">
        <f t="shared" si="26"/>
        <v>3.9931561726695706</v>
      </c>
      <c r="P52" s="10">
        <f>+(P41-P44)/P47</f>
        <v>4.4682274247491636</v>
      </c>
    </row>
    <row r="53" spans="1:17" s="6" customFormat="1" x14ac:dyDescent="0.2">
      <c r="A53" s="6" t="s">
        <v>3</v>
      </c>
      <c r="B53" s="6">
        <f t="shared" ref="B53" si="27">+B48/B41</f>
        <v>0.17442334403715914</v>
      </c>
      <c r="C53" s="6">
        <f t="shared" ref="C53:D53" si="28">+C48/C41</f>
        <v>0.16780378171062488</v>
      </c>
      <c r="D53" s="6">
        <f t="shared" si="28"/>
        <v>0.18085523734797959</v>
      </c>
      <c r="E53" s="6">
        <f t="shared" ref="E53:F53" si="29">+E48/E41</f>
        <v>0.16551329503943257</v>
      </c>
      <c r="F53" s="6">
        <f t="shared" si="29"/>
        <v>0.1823884848293752</v>
      </c>
      <c r="G53" s="6">
        <f t="shared" ref="G53:L53" si="30">+G48/G41</f>
        <v>0.17758062105103486</v>
      </c>
      <c r="H53" s="6">
        <f t="shared" si="30"/>
        <v>0.16430238822050638</v>
      </c>
      <c r="I53" s="6">
        <f t="shared" si="30"/>
        <v>0.13482158551590789</v>
      </c>
      <c r="J53" s="6">
        <f t="shared" si="30"/>
        <v>0.12301487798549157</v>
      </c>
      <c r="K53" s="6">
        <f t="shared" si="30"/>
        <v>8.5481682496607869E-2</v>
      </c>
      <c r="L53" s="6">
        <f t="shared" si="30"/>
        <v>9.6921344717307983E-2</v>
      </c>
      <c r="P53" s="6">
        <f>+P48/P41</f>
        <v>0.12837376153057739</v>
      </c>
    </row>
    <row r="54" spans="1:17" s="6" customFormat="1" x14ac:dyDescent="0.2">
      <c r="A54" s="8" t="s">
        <v>2</v>
      </c>
      <c r="B54" s="9">
        <v>11</v>
      </c>
      <c r="C54" s="9">
        <v>11</v>
      </c>
      <c r="D54" s="9">
        <v>11</v>
      </c>
      <c r="E54" s="9">
        <v>11</v>
      </c>
      <c r="F54" s="9">
        <v>11</v>
      </c>
      <c r="G54" s="9">
        <v>11</v>
      </c>
      <c r="H54" s="9">
        <v>11</v>
      </c>
      <c r="I54" s="9">
        <v>11</v>
      </c>
      <c r="J54" s="9">
        <v>11</v>
      </c>
      <c r="K54" s="9">
        <v>11</v>
      </c>
      <c r="L54" s="9">
        <v>11</v>
      </c>
      <c r="M54" s="9"/>
      <c r="N54" s="9"/>
      <c r="O54" s="9"/>
      <c r="P54" s="9">
        <v>11</v>
      </c>
      <c r="Q54" s="9"/>
    </row>
    <row r="55" spans="1:17" s="6" customFormat="1" x14ac:dyDescent="0.2">
      <c r="A55" s="6" t="s">
        <v>1</v>
      </c>
      <c r="B55" s="7" t="str">
        <f t="shared" ref="B55" si="31">IF(B42=0,IF(B54="","","*"&amp;TEXT(B54,"0.0x")),(B41+B42-B44)/B47)</f>
        <v>*11.0x</v>
      </c>
      <c r="C55" s="7" t="str">
        <f t="shared" ref="C55:D55" si="32">IF(C42=0,IF(C54="","","*"&amp;TEXT(C54,"0.0x")),(C41+C42-C44)/C47)</f>
        <v>*11.0x</v>
      </c>
      <c r="D55" s="7" t="str">
        <f t="shared" si="32"/>
        <v>*11.0x</v>
      </c>
      <c r="E55" s="7" t="str">
        <f t="shared" ref="E55:F55" si="33">IF(E42=0,IF(E54="","","*"&amp;TEXT(E54,"0.0x")),(E41+E42-E44)/E47)</f>
        <v>*11.0x</v>
      </c>
      <c r="F55" s="7" t="str">
        <f t="shared" si="33"/>
        <v>*11.0x</v>
      </c>
      <c r="G55" s="7" t="str">
        <f t="shared" ref="G55:L55" si="34">IF(G42=0,IF(G54="","","*"&amp;TEXT(G54,"0.0x")),(G41+G42-G44)/G47)</f>
        <v>*11.0x</v>
      </c>
      <c r="H55" s="7" t="str">
        <f t="shared" si="34"/>
        <v>*11.0x</v>
      </c>
      <c r="I55" s="7" t="str">
        <f t="shared" si="34"/>
        <v>*11.0x</v>
      </c>
      <c r="J55" s="7" t="str">
        <f t="shared" si="34"/>
        <v>*11.0x</v>
      </c>
      <c r="K55" s="7" t="str">
        <f t="shared" si="34"/>
        <v>*11.0x</v>
      </c>
      <c r="L55" s="7" t="str">
        <f t="shared" si="34"/>
        <v>*11.0x</v>
      </c>
      <c r="M55" s="7"/>
      <c r="N55" s="7"/>
      <c r="O55" s="7"/>
      <c r="P55" s="7" t="str">
        <f>IF(P42=0,IF(P54="","","*"&amp;TEXT(P54,"0.0x")),(P41+P42-P44)/P47)</f>
        <v>*11.0x</v>
      </c>
      <c r="Q55" s="7" t="str">
        <f>IF(Q42=0,IF(Q54="","","*"&amp;TEXT(Q54,"0.0x")),(Q41+Q42-Q44)/Q47)</f>
        <v/>
      </c>
    </row>
    <row r="57" spans="1:17" ht="80.25" customHeight="1" x14ac:dyDescent="0.2">
      <c r="A57" s="5" t="s">
        <v>0</v>
      </c>
      <c r="B57" s="4" t="s">
        <v>235</v>
      </c>
      <c r="C57" s="4" t="s">
        <v>367</v>
      </c>
      <c r="D57" s="4" t="s">
        <v>367</v>
      </c>
      <c r="E57" s="4" t="s">
        <v>367</v>
      </c>
      <c r="F57" s="4" t="s">
        <v>367</v>
      </c>
      <c r="G57" s="4" t="s">
        <v>367</v>
      </c>
      <c r="H57" s="4" t="s">
        <v>235</v>
      </c>
      <c r="I57" s="4"/>
      <c r="J57" s="4"/>
      <c r="K57" s="4"/>
      <c r="L57" s="4"/>
      <c r="M57" s="4"/>
      <c r="N57" s="4"/>
      <c r="O57" s="4"/>
      <c r="P57" s="4" t="s">
        <v>115</v>
      </c>
      <c r="Q57" s="4"/>
    </row>
    <row r="58" spans="1:17" x14ac:dyDescent="0.2">
      <c r="A58" s="2"/>
      <c r="B58" s="3"/>
      <c r="C58" s="3"/>
      <c r="D58" s="3"/>
      <c r="E58" s="3"/>
      <c r="F58" s="3"/>
      <c r="G58" s="3"/>
      <c r="H58" s="3"/>
      <c r="I58" s="3"/>
      <c r="J58" s="3"/>
      <c r="K58" s="3"/>
      <c r="L58" s="3"/>
      <c r="M58" s="3"/>
      <c r="N58" s="3"/>
      <c r="O58" s="3"/>
      <c r="P58" s="3"/>
    </row>
    <row r="59" spans="1:17" x14ac:dyDescent="0.2">
      <c r="A59" s="2"/>
    </row>
  </sheetData>
  <pageMargins left="0.7" right="0.7" top="0.75" bottom="0.75" header="0.3" footer="0.3"/>
  <pageSetup orientation="portrait" r:id="rId1"/>
  <ignoredErrors>
    <ignoredError sqref="G48:I50 H46:I47 G46:G47 F46:F47 D46:E46" formulaRange="1"/>
    <ignoredError sqref="H22" formula="1"/>
  </ignoredErrors>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1" width="10.7109375" style="1" customWidth="1"/>
    <col min="22" max="22" width="9.140625" style="1"/>
    <col min="23" max="24" width="10" style="1" bestFit="1" customWidth="1"/>
    <col min="25" max="16384" width="9.140625" style="1"/>
  </cols>
  <sheetData>
    <row r="2" spans="1:21" x14ac:dyDescent="0.2">
      <c r="A2" s="34" t="s">
        <v>45</v>
      </c>
      <c r="B2" s="1" t="s">
        <v>352</v>
      </c>
    </row>
    <row r="3" spans="1:21" s="35" customFormat="1" x14ac:dyDescent="0.2">
      <c r="A3" s="36" t="s">
        <v>43</v>
      </c>
      <c r="B3" s="35" t="s">
        <v>176</v>
      </c>
    </row>
    <row r="4" spans="1:21" x14ac:dyDescent="0.2">
      <c r="A4" s="34" t="s">
        <v>41</v>
      </c>
      <c r="B4" s="1" t="s">
        <v>40</v>
      </c>
    </row>
    <row r="5" spans="1:21" x14ac:dyDescent="0.2">
      <c r="A5" s="34" t="s">
        <v>39</v>
      </c>
    </row>
    <row r="6" spans="1:21" x14ac:dyDescent="0.2">
      <c r="A6" s="34" t="s">
        <v>38</v>
      </c>
      <c r="B6" s="1">
        <v>3</v>
      </c>
    </row>
    <row r="7" spans="1:21" x14ac:dyDescent="0.2">
      <c r="A7" s="34" t="s">
        <v>37</v>
      </c>
      <c r="B7" s="1" t="s">
        <v>157</v>
      </c>
    </row>
    <row r="8" spans="1:21" x14ac:dyDescent="0.2">
      <c r="A8" s="34" t="s">
        <v>281</v>
      </c>
      <c r="B8" s="1" t="s">
        <v>309</v>
      </c>
    </row>
    <row r="9" spans="1:21" x14ac:dyDescent="0.2">
      <c r="A9" s="22"/>
    </row>
    <row r="10" spans="1:21" x14ac:dyDescent="0.2">
      <c r="A10" s="22" t="s">
        <v>36</v>
      </c>
      <c r="B10" s="33">
        <v>44196</v>
      </c>
      <c r="C10" s="33">
        <v>44104</v>
      </c>
      <c r="D10" s="33">
        <v>44012</v>
      </c>
      <c r="E10" s="33">
        <v>43921</v>
      </c>
      <c r="F10" s="33">
        <v>43830</v>
      </c>
      <c r="G10" s="33">
        <v>43738</v>
      </c>
      <c r="H10" s="33">
        <v>43646</v>
      </c>
      <c r="I10" s="33">
        <v>43555</v>
      </c>
      <c r="J10" s="33">
        <v>43465</v>
      </c>
      <c r="K10" s="33">
        <v>43373</v>
      </c>
      <c r="L10" s="33">
        <v>43282</v>
      </c>
      <c r="M10" s="33">
        <v>43191</v>
      </c>
      <c r="N10" s="33">
        <v>43100</v>
      </c>
      <c r="O10" s="33">
        <v>43008</v>
      </c>
      <c r="P10" s="33">
        <v>42911</v>
      </c>
      <c r="Q10" s="33">
        <v>42820</v>
      </c>
      <c r="R10" s="33">
        <f t="shared" ref="R10:U10" si="0">EOMONTH(Q10,-3)</f>
        <v>42735</v>
      </c>
      <c r="S10" s="33">
        <f t="shared" si="0"/>
        <v>42643</v>
      </c>
      <c r="T10" s="33">
        <f t="shared" si="0"/>
        <v>42551</v>
      </c>
      <c r="U10" s="33">
        <f t="shared" si="0"/>
        <v>42460</v>
      </c>
    </row>
    <row r="12" spans="1:21" x14ac:dyDescent="0.2">
      <c r="A12" s="15" t="s">
        <v>35</v>
      </c>
      <c r="B12" s="19">
        <f>39291.026-C12-D12-E12</f>
        <v>10273.426999999996</v>
      </c>
      <c r="C12" s="19">
        <v>9670.5220000000008</v>
      </c>
      <c r="D12" s="19">
        <f>19347.077-E12</f>
        <v>9802.4700000000012</v>
      </c>
      <c r="E12" s="19">
        <v>9544.607</v>
      </c>
      <c r="F12" s="19">
        <f>38639.9-G12-H12-I12</f>
        <v>10180.049000000003</v>
      </c>
      <c r="G12" s="19">
        <v>9735.2440000000006</v>
      </c>
      <c r="H12" s="19">
        <f>18724.607-I12</f>
        <v>9848.5550000000003</v>
      </c>
      <c r="I12" s="19">
        <v>8876.0519999999997</v>
      </c>
      <c r="J12" s="19">
        <f>37394.158-K12-L12-M12</f>
        <v>9284.741</v>
      </c>
      <c r="K12" s="19">
        <v>9333.26</v>
      </c>
      <c r="L12" s="19">
        <f>18776.157-M12</f>
        <v>9669.7179999999989</v>
      </c>
      <c r="M12" s="19">
        <v>9106.4390000000003</v>
      </c>
      <c r="N12" s="19">
        <f>37842.773-Q12-P12-O12</f>
        <v>9842.4459999999999</v>
      </c>
      <c r="O12" s="19">
        <v>9827.3739999999998</v>
      </c>
      <c r="P12" s="19">
        <f>18172.953-Q12</f>
        <v>9581.505000000001</v>
      </c>
      <c r="Q12" s="19">
        <v>8591.4480000000003</v>
      </c>
      <c r="R12" s="19">
        <f>35000.51-U12-T12-S12</f>
        <v>9906.139000000001</v>
      </c>
      <c r="S12" s="19">
        <v>9005.4519999999993</v>
      </c>
      <c r="T12" s="19">
        <v>8392.6659999999993</v>
      </c>
      <c r="U12" s="19">
        <v>7696.2529999999997</v>
      </c>
    </row>
    <row r="13" spans="1:21" s="28" customFormat="1" x14ac:dyDescent="0.2">
      <c r="A13" s="28" t="s">
        <v>34</v>
      </c>
      <c r="B13" s="28">
        <f t="shared" ref="B13:Q13" si="1">+B12/F12-1</f>
        <v>9.1726474008124725E-3</v>
      </c>
      <c r="C13" s="28">
        <f t="shared" si="1"/>
        <v>-6.6482154941365224E-3</v>
      </c>
      <c r="D13" s="28">
        <f t="shared" si="1"/>
        <v>-4.679366668511209E-3</v>
      </c>
      <c r="E13" s="28">
        <f t="shared" si="1"/>
        <v>7.5321212629218426E-2</v>
      </c>
      <c r="F13" s="28">
        <f t="shared" si="1"/>
        <v>9.6427891741945437E-2</v>
      </c>
      <c r="G13" s="28">
        <f t="shared" si="1"/>
        <v>4.3070052693271244E-2</v>
      </c>
      <c r="H13" s="28">
        <f t="shared" si="1"/>
        <v>1.8494541412686694E-2</v>
      </c>
      <c r="I13" s="28">
        <f t="shared" si="1"/>
        <v>-2.5299351371046441E-2</v>
      </c>
      <c r="J13" s="28">
        <f t="shared" si="1"/>
        <v>-5.666325220377133E-2</v>
      </c>
      <c r="K13" s="28">
        <f t="shared" si="1"/>
        <v>-5.0279352347839756E-2</v>
      </c>
      <c r="L13" s="28">
        <f t="shared" si="1"/>
        <v>9.2065912401024796E-3</v>
      </c>
      <c r="M13" s="28">
        <f t="shared" si="1"/>
        <v>5.9942282139169079E-2</v>
      </c>
      <c r="N13" s="28">
        <f t="shared" si="1"/>
        <v>-6.4296493315914027E-3</v>
      </c>
      <c r="O13" s="28">
        <f t="shared" si="1"/>
        <v>9.1269377705860855E-2</v>
      </c>
      <c r="P13" s="28">
        <f t="shared" si="1"/>
        <v>0.14165212817953221</v>
      </c>
      <c r="Q13" s="28">
        <f t="shared" si="1"/>
        <v>0.11631569284429721</v>
      </c>
    </row>
    <row r="14" spans="1:21"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1"/>
      <c r="S14" s="31"/>
      <c r="T14" s="31"/>
      <c r="U14" s="31"/>
    </row>
    <row r="16" spans="1:21" s="22" customFormat="1" x14ac:dyDescent="0.2">
      <c r="A16" s="30" t="s">
        <v>31</v>
      </c>
      <c r="B16" s="29">
        <f>3752.227-C16-D16-E16</f>
        <v>885.5269999999997</v>
      </c>
      <c r="C16" s="29">
        <v>928.41600000000005</v>
      </c>
      <c r="D16" s="29">
        <v>1404.258</v>
      </c>
      <c r="E16" s="29">
        <v>534.02599999999995</v>
      </c>
      <c r="F16" s="29">
        <f>3480.619-G16-H16-I16</f>
        <v>950.76700000000005</v>
      </c>
      <c r="G16" s="29">
        <v>989.39800000000002</v>
      </c>
      <c r="H16" s="29">
        <v>979.39599999999996</v>
      </c>
      <c r="I16" s="29">
        <v>561.05799999999999</v>
      </c>
      <c r="J16" s="29">
        <f>3048.235-K16-L16-M16</f>
        <v>617.26100000000042</v>
      </c>
      <c r="K16" s="29">
        <v>744.44799999999998</v>
      </c>
      <c r="L16" s="29">
        <v>929.10199999999998</v>
      </c>
      <c r="M16" s="29">
        <v>757.42399999999998</v>
      </c>
      <c r="N16" s="29">
        <v>824.3</v>
      </c>
      <c r="O16" s="29">
        <v>1123.9090000000001</v>
      </c>
      <c r="P16" s="29">
        <v>955.21400000000006</v>
      </c>
      <c r="Q16" s="29">
        <v>574.1</v>
      </c>
      <c r="R16" s="29">
        <v>767.7</v>
      </c>
      <c r="S16" s="29">
        <v>696.5</v>
      </c>
      <c r="T16" s="29">
        <v>447.3</v>
      </c>
      <c r="U16" s="29">
        <v>140.6</v>
      </c>
    </row>
    <row r="17" spans="1:25" s="28" customFormat="1" x14ac:dyDescent="0.2">
      <c r="A17" s="28" t="s">
        <v>30</v>
      </c>
      <c r="B17" s="28">
        <f t="shared" ref="B17" si="2">+B16/B12</f>
        <v>8.6195872127187947E-2</v>
      </c>
      <c r="C17" s="28">
        <f t="shared" ref="C17:D17" si="3">+C16/C12</f>
        <v>9.6004745141989228E-2</v>
      </c>
      <c r="D17" s="28">
        <f t="shared" si="3"/>
        <v>0.14325552641324074</v>
      </c>
      <c r="E17" s="28">
        <f t="shared" ref="E17:F17" si="4">+E16/E12</f>
        <v>5.595054882825453E-2</v>
      </c>
      <c r="F17" s="28">
        <f t="shared" si="4"/>
        <v>9.3395130023440923E-2</v>
      </c>
      <c r="G17" s="28">
        <f t="shared" ref="G17:H17" si="5">+G16/G12</f>
        <v>0.10163052923994509</v>
      </c>
      <c r="H17" s="28">
        <f t="shared" si="5"/>
        <v>9.9445654717874851E-2</v>
      </c>
      <c r="I17" s="28">
        <f t="shared" ref="I17:J17" si="6">+I16/I12</f>
        <v>6.3210310169431183E-2</v>
      </c>
      <c r="J17" s="28">
        <f t="shared" si="6"/>
        <v>6.6481229794132166E-2</v>
      </c>
      <c r="K17" s="28">
        <f t="shared" ref="K17:U17" si="7">+K16/K12</f>
        <v>7.9762912422883317E-2</v>
      </c>
      <c r="L17" s="28">
        <f t="shared" si="7"/>
        <v>9.6083670692361456E-2</v>
      </c>
      <c r="M17" s="28">
        <f t="shared" si="7"/>
        <v>8.3174553741588775E-2</v>
      </c>
      <c r="N17" s="28">
        <f t="shared" si="7"/>
        <v>8.3749506982309069E-2</v>
      </c>
      <c r="O17" s="28">
        <f t="shared" si="7"/>
        <v>0.11436513965989288</v>
      </c>
      <c r="P17" s="28">
        <f t="shared" si="7"/>
        <v>9.9693524138431272E-2</v>
      </c>
      <c r="Q17" s="28">
        <f t="shared" si="7"/>
        <v>6.6822263255274308E-2</v>
      </c>
      <c r="R17" s="28">
        <f t="shared" si="7"/>
        <v>7.7497398330469619E-2</v>
      </c>
      <c r="S17" s="28">
        <f t="shared" si="7"/>
        <v>7.7342036801706343E-2</v>
      </c>
      <c r="T17" s="28">
        <f t="shared" si="7"/>
        <v>5.329653294912487E-2</v>
      </c>
      <c r="U17" s="28">
        <f t="shared" si="7"/>
        <v>1.8268630202255564E-2</v>
      </c>
    </row>
    <row r="18" spans="1:25" s="23" customFormat="1" x14ac:dyDescent="0.2"/>
    <row r="19" spans="1:2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row>
    <row r="20" spans="1:2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row>
    <row r="21" spans="1:2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row>
    <row r="22" spans="1:25" s="22" customFormat="1" x14ac:dyDescent="0.2">
      <c r="A22" s="22" t="s">
        <v>23</v>
      </c>
      <c r="B22" s="20">
        <f t="shared" ref="B22" si="8">SUM(B16,B19:B21)</f>
        <v>885.5269999999997</v>
      </c>
      <c r="C22" s="20">
        <f t="shared" ref="C22:D22" si="9">SUM(C16,C19:C21)</f>
        <v>928.41600000000005</v>
      </c>
      <c r="D22" s="20">
        <f t="shared" si="9"/>
        <v>1404.258</v>
      </c>
      <c r="E22" s="20">
        <f t="shared" ref="E22:F22" si="10">SUM(E16,E19:E21)</f>
        <v>534.02599999999995</v>
      </c>
      <c r="F22" s="20">
        <f t="shared" si="10"/>
        <v>950.76700000000005</v>
      </c>
      <c r="G22" s="20">
        <f t="shared" ref="G22:H22" si="11">SUM(G16,G19:G21)</f>
        <v>989.39800000000002</v>
      </c>
      <c r="H22" s="20">
        <f t="shared" si="11"/>
        <v>979.39599999999996</v>
      </c>
      <c r="I22" s="20">
        <f t="shared" ref="I22:J22" si="12">SUM(I16,I19:I21)</f>
        <v>561.05799999999999</v>
      </c>
      <c r="J22" s="20">
        <f t="shared" si="12"/>
        <v>617.26100000000042</v>
      </c>
      <c r="K22" s="20">
        <f t="shared" ref="K22:U22" si="13">SUM(K16,K19:K21)</f>
        <v>744.44799999999998</v>
      </c>
      <c r="L22" s="20">
        <f t="shared" si="13"/>
        <v>929.10199999999998</v>
      </c>
      <c r="M22" s="20">
        <f t="shared" si="13"/>
        <v>757.42399999999998</v>
      </c>
      <c r="N22" s="20">
        <f t="shared" si="13"/>
        <v>824.3</v>
      </c>
      <c r="O22" s="20">
        <f t="shared" si="13"/>
        <v>1123.9090000000001</v>
      </c>
      <c r="P22" s="20">
        <f t="shared" si="13"/>
        <v>955.21400000000006</v>
      </c>
      <c r="Q22" s="20">
        <f t="shared" si="13"/>
        <v>574.1</v>
      </c>
      <c r="R22" s="20">
        <f t="shared" si="13"/>
        <v>767.7</v>
      </c>
      <c r="S22" s="20">
        <f t="shared" si="13"/>
        <v>696.5</v>
      </c>
      <c r="T22" s="20">
        <f t="shared" si="13"/>
        <v>447.3</v>
      </c>
      <c r="U22" s="20">
        <f t="shared" si="13"/>
        <v>140.6</v>
      </c>
    </row>
    <row r="23" spans="1:25" s="22" customFormat="1" x14ac:dyDescent="0.2">
      <c r="B23" s="20"/>
      <c r="C23" s="20"/>
      <c r="D23" s="20"/>
      <c r="E23" s="20"/>
      <c r="F23" s="20"/>
      <c r="G23" s="20"/>
      <c r="H23" s="20"/>
      <c r="I23" s="20"/>
      <c r="J23" s="20"/>
      <c r="K23" s="20"/>
      <c r="L23" s="20"/>
      <c r="M23" s="20"/>
      <c r="N23" s="20"/>
      <c r="O23" s="20"/>
      <c r="P23" s="20"/>
      <c r="Q23" s="20"/>
      <c r="R23" s="20"/>
      <c r="S23" s="20"/>
      <c r="T23" s="20"/>
      <c r="U23" s="20"/>
    </row>
    <row r="24" spans="1:25" s="22" customFormat="1" x14ac:dyDescent="0.2">
      <c r="A24" s="22" t="s">
        <v>27</v>
      </c>
      <c r="B24" s="20">
        <f t="shared" ref="B24:R24" si="14">SUM(B22:E22)</f>
        <v>3752.2269999999999</v>
      </c>
      <c r="C24" s="20">
        <f t="shared" si="14"/>
        <v>3817.4669999999996</v>
      </c>
      <c r="D24" s="20">
        <f t="shared" si="14"/>
        <v>3878.4490000000005</v>
      </c>
      <c r="E24" s="20">
        <f t="shared" si="14"/>
        <v>3453.5870000000004</v>
      </c>
      <c r="F24" s="20">
        <f t="shared" si="14"/>
        <v>3480.6189999999997</v>
      </c>
      <c r="G24" s="20">
        <f t="shared" si="14"/>
        <v>3147.1130000000003</v>
      </c>
      <c r="H24" s="20">
        <f t="shared" si="14"/>
        <v>2902.163</v>
      </c>
      <c r="I24" s="20">
        <f t="shared" si="14"/>
        <v>2851.8690000000001</v>
      </c>
      <c r="J24" s="20">
        <f t="shared" si="14"/>
        <v>3048.2350000000001</v>
      </c>
      <c r="K24" s="20">
        <f t="shared" si="14"/>
        <v>3255.2740000000003</v>
      </c>
      <c r="L24" s="20">
        <f t="shared" si="14"/>
        <v>3634.7350000000001</v>
      </c>
      <c r="M24" s="20">
        <f t="shared" si="14"/>
        <v>3660.8469999999998</v>
      </c>
      <c r="N24" s="20">
        <f t="shared" si="14"/>
        <v>3477.5230000000001</v>
      </c>
      <c r="O24" s="20">
        <f t="shared" si="14"/>
        <v>3420.9229999999998</v>
      </c>
      <c r="P24" s="20">
        <f t="shared" si="14"/>
        <v>2993.5140000000001</v>
      </c>
      <c r="Q24" s="20">
        <f t="shared" si="14"/>
        <v>2485.6000000000004</v>
      </c>
      <c r="R24" s="20">
        <f t="shared" si="14"/>
        <v>2052.1</v>
      </c>
      <c r="S24" s="20"/>
      <c r="T24" s="20"/>
      <c r="U24" s="20"/>
    </row>
    <row r="25" spans="1:25" s="23" customFormat="1" x14ac:dyDescent="0.2">
      <c r="A25" s="15" t="s">
        <v>26</v>
      </c>
      <c r="B25" s="27">
        <v>0</v>
      </c>
      <c r="C25" s="27">
        <v>0</v>
      </c>
      <c r="D25" s="27">
        <v>0</v>
      </c>
      <c r="E25" s="27">
        <v>0</v>
      </c>
      <c r="F25" s="27">
        <v>0</v>
      </c>
      <c r="G25" s="27">
        <v>0</v>
      </c>
      <c r="H25" s="27">
        <v>0</v>
      </c>
      <c r="I25" s="27">
        <v>0</v>
      </c>
      <c r="J25" s="27">
        <v>0</v>
      </c>
      <c r="K25" s="27">
        <v>0</v>
      </c>
      <c r="L25" s="27">
        <f>3634.7-L24</f>
        <v>-3.5000000000309228E-2</v>
      </c>
      <c r="M25" s="27">
        <f>3660.8-M24</f>
        <v>-4.6999999999570719E-2</v>
      </c>
      <c r="N25" s="27">
        <f>3477.5-N24</f>
        <v>-2.3000000000138243E-2</v>
      </c>
      <c r="O25" s="27">
        <f>3411.7-O24</f>
        <v>-9.2229999999999563</v>
      </c>
      <c r="P25" s="27">
        <f>2868.2-P24</f>
        <v>-125.31400000000031</v>
      </c>
      <c r="Q25" s="27">
        <f>2396.1-Q24</f>
        <v>-89.500000000000455</v>
      </c>
      <c r="R25" s="27">
        <f>2118.329-R24</f>
        <v>66.229000000000269</v>
      </c>
      <c r="S25" s="27"/>
      <c r="T25" s="27"/>
      <c r="U25" s="27"/>
      <c r="V25" s="71"/>
    </row>
    <row r="26" spans="1:25"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6"/>
      <c r="T26" s="26"/>
      <c r="U26" s="26"/>
    </row>
    <row r="27" spans="1:25" s="24" customFormat="1" x14ac:dyDescent="0.2">
      <c r="A27" s="22" t="s">
        <v>24</v>
      </c>
      <c r="B27" s="20">
        <f t="shared" ref="B27" si="15">SUM(B24:B26)</f>
        <v>3752.2269999999999</v>
      </c>
      <c r="C27" s="20">
        <f t="shared" ref="C27:D27" si="16">SUM(C24:C26)</f>
        <v>3817.4669999999996</v>
      </c>
      <c r="D27" s="20">
        <f t="shared" si="16"/>
        <v>3878.4490000000005</v>
      </c>
      <c r="E27" s="20">
        <f t="shared" ref="E27:F27" si="17">SUM(E24:E26)</f>
        <v>3453.5870000000004</v>
      </c>
      <c r="F27" s="20">
        <f t="shared" si="17"/>
        <v>3480.6189999999997</v>
      </c>
      <c r="G27" s="20">
        <f t="shared" ref="G27:H27" si="18">SUM(G24:G26)</f>
        <v>3147.1130000000003</v>
      </c>
      <c r="H27" s="20">
        <f t="shared" si="18"/>
        <v>2902.163</v>
      </c>
      <c r="I27" s="20">
        <f t="shared" ref="I27:J27" si="19">SUM(I24:I26)</f>
        <v>2851.8690000000001</v>
      </c>
      <c r="J27" s="20">
        <f t="shared" si="19"/>
        <v>3048.2350000000001</v>
      </c>
      <c r="K27" s="20">
        <f t="shared" ref="K27:R27" si="20">SUM(K24:K26)</f>
        <v>3255.2740000000003</v>
      </c>
      <c r="L27" s="20">
        <f t="shared" si="20"/>
        <v>3634.7</v>
      </c>
      <c r="M27" s="20">
        <f t="shared" si="20"/>
        <v>3660.8</v>
      </c>
      <c r="N27" s="20">
        <f t="shared" si="20"/>
        <v>3477.5</v>
      </c>
      <c r="O27" s="20">
        <f t="shared" si="20"/>
        <v>3411.7</v>
      </c>
      <c r="P27" s="20">
        <f t="shared" si="20"/>
        <v>2868.2</v>
      </c>
      <c r="Q27" s="20">
        <f t="shared" si="20"/>
        <v>2396.1</v>
      </c>
      <c r="R27" s="20">
        <f t="shared" si="20"/>
        <v>2118.3290000000002</v>
      </c>
      <c r="S27" s="25"/>
      <c r="T27" s="25"/>
      <c r="U27" s="25"/>
    </row>
    <row r="28" spans="1:25" s="23" customFormat="1" x14ac:dyDescent="0.2">
      <c r="X28" s="67"/>
      <c r="Y28" s="67"/>
    </row>
    <row r="29" spans="1:25" s="22" customFormat="1" x14ac:dyDescent="0.2">
      <c r="A29" s="22" t="s">
        <v>23</v>
      </c>
      <c r="B29" s="20">
        <f t="shared" ref="B29" si="21">B22</f>
        <v>885.5269999999997</v>
      </c>
      <c r="C29" s="20">
        <f t="shared" ref="C29:E29" si="22">C22</f>
        <v>928.41600000000005</v>
      </c>
      <c r="D29" s="20">
        <f t="shared" si="22"/>
        <v>1404.258</v>
      </c>
      <c r="E29" s="20">
        <f t="shared" si="22"/>
        <v>534.02599999999995</v>
      </c>
      <c r="F29" s="20">
        <f t="shared" ref="F29:G29" si="23">F22</f>
        <v>950.76700000000005</v>
      </c>
      <c r="G29" s="20">
        <f t="shared" si="23"/>
        <v>989.39800000000002</v>
      </c>
      <c r="H29" s="20">
        <f t="shared" ref="H29:J29" si="24">H22</f>
        <v>979.39599999999996</v>
      </c>
      <c r="I29" s="20">
        <f t="shared" si="24"/>
        <v>561.05799999999999</v>
      </c>
      <c r="J29" s="20">
        <f t="shared" si="24"/>
        <v>617.26100000000042</v>
      </c>
      <c r="K29" s="20">
        <f t="shared" ref="K29:U29" si="25">K22</f>
        <v>744.44799999999998</v>
      </c>
      <c r="L29" s="20">
        <f t="shared" si="25"/>
        <v>929.10199999999998</v>
      </c>
      <c r="M29" s="20">
        <f t="shared" si="25"/>
        <v>757.42399999999998</v>
      </c>
      <c r="N29" s="20">
        <f t="shared" si="25"/>
        <v>824.3</v>
      </c>
      <c r="O29" s="20">
        <f t="shared" si="25"/>
        <v>1123.9090000000001</v>
      </c>
      <c r="P29" s="20">
        <f t="shared" si="25"/>
        <v>955.21400000000006</v>
      </c>
      <c r="Q29" s="20">
        <f t="shared" si="25"/>
        <v>574.1</v>
      </c>
      <c r="R29" s="20">
        <f t="shared" si="25"/>
        <v>767.7</v>
      </c>
      <c r="S29" s="20">
        <f t="shared" si="25"/>
        <v>696.5</v>
      </c>
      <c r="T29" s="20">
        <f t="shared" si="25"/>
        <v>447.3</v>
      </c>
      <c r="U29" s="20">
        <f t="shared" si="25"/>
        <v>140.6</v>
      </c>
      <c r="X29" s="66"/>
      <c r="Y29" s="66"/>
    </row>
    <row r="30" spans="1:25" s="11" customFormat="1" x14ac:dyDescent="0.2">
      <c r="A30" s="19" t="s">
        <v>22</v>
      </c>
      <c r="B30" s="19">
        <f>-528.073-C30-D30-E30</f>
        <v>-132.13799999999992</v>
      </c>
      <c r="C30" s="19">
        <f>-395.935-D30-E30</f>
        <v>-140.49900000000002</v>
      </c>
      <c r="D30" s="19">
        <f>-255.436-E30</f>
        <v>-114.946</v>
      </c>
      <c r="E30" s="19">
        <v>-140.49</v>
      </c>
      <c r="F30" s="19">
        <f>-487.733-G30-H30-I30</f>
        <v>-128.18500000000003</v>
      </c>
      <c r="G30" s="19">
        <f>-359.548-H30-I30</f>
        <v>-108.65200000000002</v>
      </c>
      <c r="H30" s="19">
        <f>-250.896-I30</f>
        <v>-114.43099999999998</v>
      </c>
      <c r="I30" s="19">
        <v>-136.465</v>
      </c>
      <c r="J30" s="19">
        <f>-555.631-K30-L30-M30</f>
        <v>-132.74199999999999</v>
      </c>
      <c r="K30" s="19">
        <f>-422.889-L30-M30</f>
        <v>-133.20399999999998</v>
      </c>
      <c r="L30" s="19">
        <f>-289.685-M30</f>
        <v>-121.40299999999999</v>
      </c>
      <c r="M30" s="19">
        <v>-168.28200000000001</v>
      </c>
      <c r="N30" s="19">
        <f>-456.152-Q30-P30-O30</f>
        <v>-150.911</v>
      </c>
      <c r="O30" s="19">
        <f>-305.241-Q30-P30</f>
        <v>-89.849000000000004</v>
      </c>
      <c r="P30" s="19">
        <f>-215.392-Q30</f>
        <v>-117.658</v>
      </c>
      <c r="Q30" s="19">
        <v>-97.733999999999995</v>
      </c>
      <c r="R30" s="19">
        <f>-414.725-U30-T30-S30</f>
        <v>-117.893</v>
      </c>
      <c r="S30" s="19">
        <f>-296.832-U30-T30</f>
        <v>-110.268</v>
      </c>
      <c r="T30" s="19">
        <f>-186.564-U30</f>
        <v>-99.34899999999999</v>
      </c>
      <c r="U30" s="19">
        <v>-87.215000000000003</v>
      </c>
    </row>
    <row r="31" spans="1:25" s="11" customFormat="1" x14ac:dyDescent="0.2">
      <c r="A31" s="19" t="s">
        <v>21</v>
      </c>
      <c r="B31" s="19">
        <f>-599.64-C31-D31-E31</f>
        <v>-166.40100000000001</v>
      </c>
      <c r="C31" s="19">
        <f>-433.239-D31-E31</f>
        <v>-275.16499999999996</v>
      </c>
      <c r="D31" s="19">
        <f>-158.074-E31</f>
        <v>-101.79200000000002</v>
      </c>
      <c r="E31" s="19">
        <v>-56.281999999999996</v>
      </c>
      <c r="F31" s="19">
        <f>-535.873-G31-H31-I31</f>
        <v>-191.32200000000006</v>
      </c>
      <c r="G31" s="19">
        <f>-344.551-H31-I31</f>
        <v>-79.306999999999974</v>
      </c>
      <c r="H31" s="19">
        <f>-265.244-I31</f>
        <v>-247.48500000000001</v>
      </c>
      <c r="I31" s="19">
        <v>-17.759</v>
      </c>
      <c r="J31" s="19">
        <f>-677.346-K31-L31-M31</f>
        <v>-98.048999999999978</v>
      </c>
      <c r="K31" s="19">
        <f>-579.297-L31-M31</f>
        <v>-168.86800000000005</v>
      </c>
      <c r="L31" s="19">
        <f>-410.429-M31</f>
        <v>-252.70499999999998</v>
      </c>
      <c r="M31" s="19">
        <v>-157.72399999999999</v>
      </c>
      <c r="N31" s="19">
        <f>-298.069-Q31-P31-O31</f>
        <v>-53.88900000000001</v>
      </c>
      <c r="O31" s="19">
        <f>-244.18-P31-Q31</f>
        <v>-73.966000000000008</v>
      </c>
      <c r="P31" s="19">
        <f>-170.214-Q31</f>
        <v>-128.541</v>
      </c>
      <c r="Q31" s="19">
        <v>-41.673000000000002</v>
      </c>
      <c r="R31" s="19">
        <f>-425.504-U31-T31-S31</f>
        <v>-15.754999999999995</v>
      </c>
      <c r="S31" s="19">
        <f>-409.749-U31-T31</f>
        <v>-83.576999999999998</v>
      </c>
      <c r="T31" s="19">
        <f>-326.172-U31</f>
        <v>-146.96500000000003</v>
      </c>
      <c r="U31" s="19">
        <v>-179.20699999999999</v>
      </c>
    </row>
    <row r="32" spans="1:25" s="11" customFormat="1" x14ac:dyDescent="0.2">
      <c r="A32" s="19" t="s">
        <v>20</v>
      </c>
      <c r="B32" s="19">
        <f>10.05+14.006-23.13+255.899+129.012-C32-D32-E32</f>
        <v>329.62800000000004</v>
      </c>
      <c r="C32" s="19">
        <f>109.379-18.951-22.154-131.727+119.662-D32-E32</f>
        <v>192.16099999999994</v>
      </c>
      <c r="D32" s="19">
        <f>-18.104-8.515+38.439-214.804+67.032-E32</f>
        <v>707.54300000000001</v>
      </c>
      <c r="E32" s="19">
        <f>-248.309-172.418-81.241-340.772-0.755</f>
        <v>-843.495</v>
      </c>
      <c r="F32" s="19">
        <f>-94.489-386.867-82.969+159.217-27.267-G32-H32-I32</f>
        <v>43.408999999999935</v>
      </c>
      <c r="G32" s="19">
        <f>-212.967-367.203+33.69+89.24-18.544-H32-I32</f>
        <v>53.312999999999988</v>
      </c>
      <c r="H32" s="19">
        <f>-131.48-290.191-29.3-76.974-1.152-I32</f>
        <v>6.7570000000000618</v>
      </c>
      <c r="I32" s="19">
        <f>-16.641-275.827+15.386-257.216-1.556</f>
        <v>-535.85400000000004</v>
      </c>
      <c r="J32" s="19">
        <f>99.944-43.504-73.306+155.626+1.322+2.318-K32-L32-M32</f>
        <v>412.56800000000004</v>
      </c>
      <c r="K32" s="19">
        <f>120.097-118.64-129.674-149.381+1.476+5.954-L32-M32</f>
        <v>144.13400000000001</v>
      </c>
      <c r="L32" s="19">
        <f>34.743-191.44-4.635-254.661+1.691-M32</f>
        <v>-0.44999999999998863</v>
      </c>
      <c r="M32" s="19">
        <f>56.308-246.295-5.386-220.594-0.208+2.323</f>
        <v>-413.85200000000003</v>
      </c>
      <c r="N32" s="19">
        <f>SUM({-87.158;-172.81;23.111;128.878;-0.136;-27.347})-Q32--O32</f>
        <v>664.70799999999997</v>
      </c>
      <c r="O32" s="19">
        <f>-237.636-120.338-0.292-121.32+5.69-25.815-Q32-P32</f>
        <v>268.17</v>
      </c>
      <c r="P32" s="19">
        <f>-255.544-180.72+9.978-328.774+2.843-15.664-Q32</f>
        <v>-235.88099999999997</v>
      </c>
      <c r="Q32" s="19">
        <f>-31.459-167.204-16.25-312.659+8.638-13.066</f>
        <v>-532</v>
      </c>
      <c r="R32" s="19">
        <f>SUM({65.171;-38.759;-24.934;-4.487;-6.274;-31.698})</f>
        <v>-40.980999999999995</v>
      </c>
      <c r="S32" s="19">
        <f>49.899-28.18-157.967-430.99-4.046-12.656-U32-T32</f>
        <v>82.113999999999919</v>
      </c>
      <c r="T32" s="19">
        <f>88.547-99.434-199.253-450.448-4.526-0.94-U32</f>
        <v>-204.95999999999998</v>
      </c>
      <c r="U32" s="19">
        <f>135.362-35.68-114.844-445.559-2.498+2.125</f>
        <v>-461.09399999999999</v>
      </c>
    </row>
    <row r="33" spans="1:24"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row>
    <row r="34" spans="1:24"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row>
    <row r="35" spans="1:24" s="20" customFormat="1" x14ac:dyDescent="0.2">
      <c r="A35" s="20" t="s">
        <v>17</v>
      </c>
      <c r="B35" s="20">
        <f>3293.356-C35-D35-E35</f>
        <v>877.10500000000025</v>
      </c>
      <c r="C35" s="20">
        <f>2416.251-D35-E35</f>
        <v>792.70800000000031</v>
      </c>
      <c r="D35" s="20">
        <f>1623.543-E35</f>
        <v>1799.8899999999999</v>
      </c>
      <c r="E35" s="20">
        <v>-176.34700000000001</v>
      </c>
      <c r="F35" s="20">
        <f>2591.537-G35-H35-I35</f>
        <v>1007.8939999999998</v>
      </c>
      <c r="G35" s="20">
        <f>1583.643-H35-I35</f>
        <v>835.08999999999992</v>
      </c>
      <c r="H35" s="20">
        <f>748.553-I35</f>
        <v>812.19</v>
      </c>
      <c r="I35" s="20">
        <v>-63.637</v>
      </c>
      <c r="J35" s="20">
        <f>2523.403-K35-L35-M35</f>
        <v>782.52799999999968</v>
      </c>
      <c r="K35" s="20">
        <f>1740.875-L35-M35</f>
        <v>805.51599999999996</v>
      </c>
      <c r="L35" s="20">
        <f>935.359-M35</f>
        <v>798.72</v>
      </c>
      <c r="M35" s="20">
        <v>136.63900000000001</v>
      </c>
      <c r="N35" s="20">
        <f>2329.587-Q35-P35-O35</f>
        <v>923.84699999999987</v>
      </c>
      <c r="O35" s="20">
        <f>1405.74-Q35-P35</f>
        <v>993.91099999999994</v>
      </c>
      <c r="P35" s="20">
        <f>411.829-Q35</f>
        <v>472.41800000000001</v>
      </c>
      <c r="Q35" s="20">
        <v>-60.588999999999999</v>
      </c>
      <c r="R35" s="20">
        <f>1465.831-U35-T35-S35</f>
        <v>1048.721</v>
      </c>
      <c r="S35" s="20">
        <f>417.11-U35-T35</f>
        <v>661.47899999999993</v>
      </c>
      <c r="T35" s="20">
        <f>-244.369-U35</f>
        <v>96.89700000000002</v>
      </c>
      <c r="U35" s="20">
        <v>-341.26600000000002</v>
      </c>
    </row>
    <row r="36" spans="1:24" s="11" customFormat="1" x14ac:dyDescent="0.2">
      <c r="A36" s="19" t="s">
        <v>16</v>
      </c>
      <c r="B36" s="21">
        <f>-758.623-C36-D36-E36</f>
        <v>-280.68500000000006</v>
      </c>
      <c r="C36" s="21">
        <f>-477.938-D36-E36</f>
        <v>-198.268</v>
      </c>
      <c r="D36" s="21">
        <f>-279.67-E36</f>
        <v>-148.85100000000003</v>
      </c>
      <c r="E36" s="21">
        <v>-130.81899999999999</v>
      </c>
      <c r="F36" s="21">
        <f>-696.915-G36-H36-I36</f>
        <v>-211.10400000000007</v>
      </c>
      <c r="G36" s="21">
        <f>-485.811-H36-I36</f>
        <v>-193.51799999999994</v>
      </c>
      <c r="H36" s="21">
        <f>-292.293-I36</f>
        <v>-146.71299999999999</v>
      </c>
      <c r="I36" s="21">
        <v>-145.58000000000001</v>
      </c>
      <c r="J36" s="21">
        <f>-576.603-K36-L36-M36</f>
        <v>-217.17999999999998</v>
      </c>
      <c r="K36" s="21">
        <f>-359.423-L36-M36</f>
        <v>-133.01599999999999</v>
      </c>
      <c r="L36" s="21">
        <f>-226.407-M36</f>
        <v>-125.17500000000001</v>
      </c>
      <c r="M36" s="21">
        <v>-101.232</v>
      </c>
      <c r="N36" s="21">
        <f>-518.765-Q36-P36-O36</f>
        <v>-141.19899999999998</v>
      </c>
      <c r="O36" s="21">
        <f>-377.566-Q36-P36</f>
        <v>-105.767</v>
      </c>
      <c r="P36" s="21">
        <f>-271.799-Q36</f>
        <v>-116.12199999999999</v>
      </c>
      <c r="Q36" s="21">
        <v>-155.67699999999999</v>
      </c>
      <c r="R36" s="21">
        <f>-588.19-U36-T36-S36</f>
        <v>-217.61700000000008</v>
      </c>
      <c r="S36" s="21">
        <f>-370.573-U36-T36</f>
        <v>-154.21600000000001</v>
      </c>
      <c r="T36" s="21">
        <f>-216.357-U36</f>
        <v>-123.93599999999999</v>
      </c>
      <c r="U36" s="21">
        <v>-92.421000000000006</v>
      </c>
    </row>
    <row r="37" spans="1:24" s="20" customFormat="1" x14ac:dyDescent="0.2">
      <c r="A37" s="20" t="s">
        <v>15</v>
      </c>
      <c r="B37" s="20">
        <f t="shared" ref="B37:U37" si="26">+B35+B36</f>
        <v>596.42000000000019</v>
      </c>
      <c r="C37" s="20">
        <f t="shared" si="26"/>
        <v>594.44000000000028</v>
      </c>
      <c r="D37" s="20">
        <f t="shared" si="26"/>
        <v>1651.0389999999998</v>
      </c>
      <c r="E37" s="20">
        <f t="shared" si="26"/>
        <v>-307.166</v>
      </c>
      <c r="F37" s="20">
        <f t="shared" si="26"/>
        <v>796.78999999999974</v>
      </c>
      <c r="G37" s="20">
        <f t="shared" si="26"/>
        <v>641.572</v>
      </c>
      <c r="H37" s="20">
        <f t="shared" si="26"/>
        <v>665.47700000000009</v>
      </c>
      <c r="I37" s="20">
        <f t="shared" si="26"/>
        <v>-209.21700000000001</v>
      </c>
      <c r="J37" s="20">
        <f t="shared" si="26"/>
        <v>565.34799999999973</v>
      </c>
      <c r="K37" s="20">
        <f t="shared" si="26"/>
        <v>672.5</v>
      </c>
      <c r="L37" s="20">
        <f t="shared" si="26"/>
        <v>673.54500000000007</v>
      </c>
      <c r="M37" s="20">
        <f t="shared" si="26"/>
        <v>35.407000000000011</v>
      </c>
      <c r="N37" s="20">
        <f t="shared" si="26"/>
        <v>782.64799999999991</v>
      </c>
      <c r="O37" s="20">
        <f t="shared" si="26"/>
        <v>888.14400000000001</v>
      </c>
      <c r="P37" s="20">
        <f t="shared" si="26"/>
        <v>356.29600000000005</v>
      </c>
      <c r="Q37" s="20">
        <f t="shared" si="26"/>
        <v>-216.26599999999999</v>
      </c>
      <c r="R37" s="20">
        <f t="shared" si="26"/>
        <v>831.10399999999993</v>
      </c>
      <c r="S37" s="20">
        <f t="shared" si="26"/>
        <v>507.26299999999992</v>
      </c>
      <c r="T37" s="20">
        <f t="shared" si="26"/>
        <v>-27.038999999999973</v>
      </c>
      <c r="U37" s="20">
        <f t="shared" si="26"/>
        <v>-433.68700000000001</v>
      </c>
    </row>
    <row r="38" spans="1:24" x14ac:dyDescent="0.2">
      <c r="W38" s="11"/>
      <c r="X38" s="11"/>
    </row>
    <row r="39" spans="1:24" s="16" customFormat="1" x14ac:dyDescent="0.2">
      <c r="A39" s="18" t="s">
        <v>14</v>
      </c>
      <c r="B39" s="19">
        <v>8.1359999999999992</v>
      </c>
      <c r="C39" s="19">
        <f>5.767+350</f>
        <v>355.767</v>
      </c>
      <c r="D39" s="19">
        <f>350+16.202</f>
        <v>366.202</v>
      </c>
      <c r="E39" s="19">
        <f>12.808+500+350</f>
        <v>862.80799999999999</v>
      </c>
      <c r="F39" s="19">
        <v>11.87</v>
      </c>
      <c r="G39" s="19">
        <v>8.2560000000000002</v>
      </c>
      <c r="H39" s="19">
        <f>11.298</f>
        <v>11.298</v>
      </c>
      <c r="I39" s="19">
        <f>3.236+5.443+14.471</f>
        <v>23.15</v>
      </c>
      <c r="J39" s="19">
        <v>2.5550000000000002</v>
      </c>
      <c r="K39" s="19">
        <v>0</v>
      </c>
      <c r="L39" s="19">
        <v>39.624000000000002</v>
      </c>
      <c r="M39" s="19">
        <v>0</v>
      </c>
      <c r="N39" s="19">
        <v>0</v>
      </c>
      <c r="O39" s="19">
        <v>0</v>
      </c>
      <c r="P39" s="19">
        <v>0</v>
      </c>
      <c r="Q39" s="19">
        <v>0</v>
      </c>
      <c r="R39" s="19">
        <v>0</v>
      </c>
      <c r="S39" s="19"/>
      <c r="T39" s="19"/>
      <c r="U39" s="19"/>
      <c r="V39" s="75"/>
    </row>
    <row r="40" spans="1:24" s="16" customFormat="1" x14ac:dyDescent="0.2">
      <c r="A40" s="18" t="s">
        <v>13</v>
      </c>
      <c r="B40" s="19">
        <f>1865.639+450+38.027+23.066+4.5+12.74</f>
        <v>2393.9719999999998</v>
      </c>
      <c r="C40" s="19">
        <f>456.25+1870.116+35.153+22.967+4.5</f>
        <v>2388.9859999999999</v>
      </c>
      <c r="D40" s="19">
        <f>462.5+1874.592+34.325+24.57+28.179</f>
        <v>2424.1660000000002</v>
      </c>
      <c r="E40" s="19">
        <f>1879.069+468.75+24.053+24.552</f>
        <v>2396.424</v>
      </c>
      <c r="F40" s="19">
        <f>475+1883.545+27.245+26.054</f>
        <v>2411.8440000000001</v>
      </c>
      <c r="G40" s="19">
        <f>0.879+481.25+1887.554+1.701+26.38+25.77</f>
        <v>2423.5340000000001</v>
      </c>
      <c r="H40" s="19">
        <f>2.458+487.5+1887.263+1.752+3.387+18.958+24.537</f>
        <v>2425.855</v>
      </c>
      <c r="I40" s="19">
        <f>493.75+3235.051+1.801+19.16+23.104</f>
        <v>3772.8659999999995</v>
      </c>
      <c r="J40" s="19">
        <f>500+3251.304+1.85+2.277+19.011+24.19</f>
        <v>3798.6320000000001</v>
      </c>
      <c r="K40" s="19">
        <f>K41-1146.123-750-900-900-1002.598-843.538-K39</f>
        <v>3780.3410000000008</v>
      </c>
      <c r="L40" s="19">
        <f>L41-1145.761-750-900-900-1002.698-843.359-L39</f>
        <v>4044.8809999999999</v>
      </c>
      <c r="M40" s="19">
        <f>M41-1145.398-750-900-900-1002.799-843.18-92.128</f>
        <v>4087.0979999999995</v>
      </c>
      <c r="N40" s="19">
        <f>N41-697.412-1145.036-750-900-754.82-600-403.444</f>
        <v>4427.415</v>
      </c>
      <c r="O40" s="19">
        <f>O41-697.076-1144.645-750-900-500-401.982</f>
        <v>5444.2520000000004</v>
      </c>
      <c r="P40" s="19">
        <f>P41-696.765-1144.283-750-900-500</f>
        <v>4791.5499999999993</v>
      </c>
      <c r="Q40" s="19">
        <f>Q41-696.453-1143.92-750-900-500</f>
        <v>3898.4740000000002</v>
      </c>
      <c r="R40" s="19">
        <f>R41-696.142-1143.557-750-900-500-369.736</f>
        <v>2924.7780000000002</v>
      </c>
      <c r="S40" s="19"/>
      <c r="T40" s="19"/>
      <c r="U40" s="19"/>
      <c r="V40" s="75"/>
    </row>
    <row r="41" spans="1:24" s="16" customFormat="1" x14ac:dyDescent="0.2">
      <c r="A41" s="18" t="s">
        <v>12</v>
      </c>
      <c r="B41" s="19">
        <f>B39+B40+1051.911+1000+750+900+1413.322+1250+1001.693+845.149</f>
        <v>10614.182999999999</v>
      </c>
      <c r="C41" s="19">
        <f>C39+C40+450.917+1052.017+900+1413.722+1250+1011.793+844.972</f>
        <v>9668.1739999999991</v>
      </c>
      <c r="D41" s="19">
        <f>D39+D40+901.974+1052.124+900+1414.122+1250+1001.894+844.792</f>
        <v>10155.273999999999</v>
      </c>
      <c r="E41" s="19">
        <f>E39+E40+902.113+1052.231+900+1414.522+1250+1001.994+844.613</f>
        <v>10624.705</v>
      </c>
      <c r="F41" s="19">
        <f>F39+F40+902.251+1052.338+900+1414.922+1250+1002.095+844.433</f>
        <v>9789.7530000000006</v>
      </c>
      <c r="G41" s="19">
        <f>G39+G40+902.39+1052.444+900+1415.323+1250+1002.195+844.254</f>
        <v>9798.3960000000006</v>
      </c>
      <c r="H41" s="19">
        <f>H39+H40+902.529+1052.551+900+1415.723+1002.296+844.075</f>
        <v>8554.3270000000011</v>
      </c>
      <c r="I41" s="19">
        <f>I39+I40+660.154+750+900+900+1002.396+843.896</f>
        <v>8852.4619999999995</v>
      </c>
      <c r="J41" s="19">
        <f>J39+J40+659.946+750+900+900+1002.497+843.717</f>
        <v>8857.3469999999998</v>
      </c>
      <c r="K41" s="19">
        <v>9322.6</v>
      </c>
      <c r="L41" s="19">
        <v>9626.3230000000003</v>
      </c>
      <c r="M41" s="19">
        <v>9720.6029999999992</v>
      </c>
      <c r="N41" s="19">
        <v>9678.1270000000004</v>
      </c>
      <c r="O41" s="19">
        <f>9828.402+9.553</f>
        <v>9837.9549999999999</v>
      </c>
      <c r="P41" s="19">
        <f>8697.114+85.484</f>
        <v>8782.598</v>
      </c>
      <c r="Q41" s="19">
        <f>7874.261+14.586</f>
        <v>7888.8470000000007</v>
      </c>
      <c r="R41" s="19">
        <f>7276.535+7.678</f>
        <v>7284.2129999999997</v>
      </c>
      <c r="S41" s="19"/>
      <c r="T41" s="19"/>
      <c r="U41" s="19"/>
    </row>
    <row r="42" spans="1:24" s="16" customFormat="1" x14ac:dyDescent="0.2">
      <c r="A42" s="18" t="s">
        <v>11</v>
      </c>
      <c r="B42" s="17">
        <v>0</v>
      </c>
      <c r="C42" s="17">
        <v>0</v>
      </c>
      <c r="D42" s="17">
        <v>0</v>
      </c>
      <c r="E42" s="17">
        <v>0</v>
      </c>
      <c r="F42" s="17">
        <v>0</v>
      </c>
      <c r="G42" s="17">
        <v>0</v>
      </c>
      <c r="H42" s="17">
        <v>0</v>
      </c>
      <c r="I42" s="17">
        <v>0</v>
      </c>
      <c r="J42" s="17">
        <v>0</v>
      </c>
      <c r="K42" s="17">
        <v>0</v>
      </c>
      <c r="L42" s="17">
        <v>0</v>
      </c>
      <c r="M42" s="17">
        <v>0</v>
      </c>
      <c r="N42" s="17">
        <v>0</v>
      </c>
      <c r="O42" s="17">
        <v>0</v>
      </c>
      <c r="P42" s="17">
        <v>0</v>
      </c>
      <c r="Q42" s="17">
        <v>0</v>
      </c>
      <c r="R42" s="17">
        <v>0</v>
      </c>
      <c r="S42" s="17"/>
      <c r="T42" s="17"/>
      <c r="U42" s="17"/>
      <c r="V42" s="71"/>
    </row>
    <row r="43" spans="1:24" x14ac:dyDescent="0.2">
      <c r="B43" s="11"/>
      <c r="C43" s="11"/>
      <c r="D43" s="11"/>
      <c r="E43" s="11"/>
      <c r="F43" s="11"/>
      <c r="G43" s="11"/>
      <c r="H43" s="11"/>
      <c r="I43" s="11"/>
      <c r="J43" s="16"/>
      <c r="K43" s="16"/>
      <c r="L43" s="16"/>
      <c r="M43" s="16"/>
      <c r="N43" s="16"/>
      <c r="O43" s="16"/>
      <c r="P43" s="16"/>
    </row>
    <row r="44" spans="1:24" x14ac:dyDescent="0.2">
      <c r="A44" s="15" t="s">
        <v>10</v>
      </c>
      <c r="B44" s="27">
        <v>2062.0509999999999</v>
      </c>
      <c r="C44" s="27">
        <v>2142.2109999999998</v>
      </c>
      <c r="D44" s="27">
        <v>2477.4879999999998</v>
      </c>
      <c r="E44" s="27">
        <v>1774.317</v>
      </c>
      <c r="F44" s="27">
        <v>1314.7639999999999</v>
      </c>
      <c r="G44" s="27">
        <v>977.62800000000004</v>
      </c>
      <c r="H44" s="27">
        <v>782.70699999999999</v>
      </c>
      <c r="I44" s="27">
        <v>1197.952</v>
      </c>
      <c r="J44" s="27">
        <v>1451.2739999999999</v>
      </c>
      <c r="K44" s="27">
        <v>1980.682</v>
      </c>
      <c r="L44" s="27">
        <v>2602.5230000000001</v>
      </c>
      <c r="M44" s="27">
        <v>2469.7069999999999</v>
      </c>
      <c r="N44" s="27">
        <v>2272.087</v>
      </c>
      <c r="O44" s="27">
        <v>1917.49</v>
      </c>
      <c r="P44" s="27">
        <v>1412.519</v>
      </c>
      <c r="Q44" s="27">
        <v>946.74699999999996</v>
      </c>
      <c r="R44" s="27">
        <v>431.60700000000003</v>
      </c>
      <c r="S44" s="14"/>
      <c r="T44" s="14"/>
      <c r="U44" s="14"/>
    </row>
    <row r="46" spans="1:24" x14ac:dyDescent="0.2">
      <c r="A46" s="1" t="s">
        <v>9</v>
      </c>
      <c r="B46" s="11">
        <f t="shared" ref="B46:R46" si="27">SUM(B12:E12)</f>
        <v>39291.025999999998</v>
      </c>
      <c r="C46" s="11">
        <f t="shared" si="27"/>
        <v>39197.648000000001</v>
      </c>
      <c r="D46" s="11">
        <f t="shared" si="27"/>
        <v>39262.370000000003</v>
      </c>
      <c r="E46" s="11">
        <f t="shared" si="27"/>
        <v>39308.455000000002</v>
      </c>
      <c r="F46" s="11">
        <f t="shared" si="27"/>
        <v>38639.900000000009</v>
      </c>
      <c r="G46" s="11">
        <f t="shared" si="27"/>
        <v>37744.591999999997</v>
      </c>
      <c r="H46" s="11">
        <f t="shared" si="27"/>
        <v>37342.608</v>
      </c>
      <c r="I46" s="11">
        <f t="shared" si="27"/>
        <v>37163.771000000001</v>
      </c>
      <c r="J46" s="11">
        <f t="shared" si="27"/>
        <v>37394.157999999996</v>
      </c>
      <c r="K46" s="11">
        <f t="shared" si="27"/>
        <v>37951.862999999998</v>
      </c>
      <c r="L46" s="11">
        <f t="shared" si="27"/>
        <v>38445.976999999999</v>
      </c>
      <c r="M46" s="11">
        <f t="shared" si="27"/>
        <v>38357.764000000003</v>
      </c>
      <c r="N46" s="11">
        <f t="shared" si="27"/>
        <v>37842.773000000001</v>
      </c>
      <c r="O46" s="11">
        <f t="shared" si="27"/>
        <v>37906.466</v>
      </c>
      <c r="P46" s="11">
        <f t="shared" si="27"/>
        <v>37084.544000000002</v>
      </c>
      <c r="Q46" s="11">
        <f t="shared" si="27"/>
        <v>35895.704999999994</v>
      </c>
      <c r="R46" s="11">
        <f t="shared" si="27"/>
        <v>35000.509999999995</v>
      </c>
    </row>
    <row r="47" spans="1:24" x14ac:dyDescent="0.2">
      <c r="A47" s="1" t="s">
        <v>8</v>
      </c>
      <c r="B47" s="11">
        <f t="shared" ref="B47:C47" si="28">+B27</f>
        <v>3752.2269999999999</v>
      </c>
      <c r="C47" s="11">
        <f t="shared" si="28"/>
        <v>3817.4669999999996</v>
      </c>
      <c r="D47" s="11">
        <f t="shared" ref="D47:E47" si="29">+D27</f>
        <v>3878.4490000000005</v>
      </c>
      <c r="E47" s="11">
        <f t="shared" si="29"/>
        <v>3453.5870000000004</v>
      </c>
      <c r="F47" s="11">
        <f t="shared" ref="F47" si="30">+F27</f>
        <v>3480.6189999999997</v>
      </c>
      <c r="G47" s="11">
        <f t="shared" ref="G47:H47" si="31">+G27</f>
        <v>3147.1130000000003</v>
      </c>
      <c r="H47" s="11">
        <f t="shared" si="31"/>
        <v>2902.163</v>
      </c>
      <c r="I47" s="11">
        <f t="shared" ref="I47:J47" si="32">+I27</f>
        <v>2851.8690000000001</v>
      </c>
      <c r="J47" s="11">
        <f t="shared" si="32"/>
        <v>3048.2350000000001</v>
      </c>
      <c r="K47" s="11">
        <f t="shared" ref="K47:R47" si="33">+K27</f>
        <v>3255.2740000000003</v>
      </c>
      <c r="L47" s="11">
        <f t="shared" si="33"/>
        <v>3634.7</v>
      </c>
      <c r="M47" s="11">
        <f t="shared" si="33"/>
        <v>3660.8</v>
      </c>
      <c r="N47" s="11">
        <f t="shared" si="33"/>
        <v>3477.5</v>
      </c>
      <c r="O47" s="11">
        <f t="shared" si="33"/>
        <v>3411.7</v>
      </c>
      <c r="P47" s="11">
        <f t="shared" si="33"/>
        <v>2868.2</v>
      </c>
      <c r="Q47" s="11">
        <f t="shared" si="33"/>
        <v>2396.1</v>
      </c>
      <c r="R47" s="11">
        <f t="shared" si="33"/>
        <v>2118.3290000000002</v>
      </c>
    </row>
    <row r="48" spans="1:24" x14ac:dyDescent="0.2">
      <c r="A48" s="1" t="s">
        <v>7</v>
      </c>
      <c r="B48" s="11">
        <f t="shared" ref="B48:R48" si="34">+SUM(B37:E37)</f>
        <v>2534.7330000000002</v>
      </c>
      <c r="C48" s="11">
        <f t="shared" si="34"/>
        <v>2735.1030000000001</v>
      </c>
      <c r="D48" s="11">
        <f t="shared" si="34"/>
        <v>2782.2349999999997</v>
      </c>
      <c r="E48" s="11">
        <f t="shared" si="34"/>
        <v>1796.6729999999998</v>
      </c>
      <c r="F48" s="11">
        <f t="shared" si="34"/>
        <v>1894.6219999999998</v>
      </c>
      <c r="G48" s="11">
        <f t="shared" si="34"/>
        <v>1663.1799999999996</v>
      </c>
      <c r="H48" s="11">
        <f t="shared" si="34"/>
        <v>1694.1079999999997</v>
      </c>
      <c r="I48" s="11">
        <f t="shared" si="34"/>
        <v>1702.1759999999999</v>
      </c>
      <c r="J48" s="11">
        <f t="shared" si="34"/>
        <v>1946.7999999999997</v>
      </c>
      <c r="K48" s="11">
        <f t="shared" si="34"/>
        <v>2164.1</v>
      </c>
      <c r="L48" s="11">
        <f t="shared" si="34"/>
        <v>2379.7439999999997</v>
      </c>
      <c r="M48" s="11">
        <f t="shared" si="34"/>
        <v>2062.4949999999999</v>
      </c>
      <c r="N48" s="11">
        <f t="shared" si="34"/>
        <v>1810.8219999999999</v>
      </c>
      <c r="O48" s="11">
        <f t="shared" si="34"/>
        <v>1859.2779999999998</v>
      </c>
      <c r="P48" s="11">
        <f t="shared" si="34"/>
        <v>1478.3969999999999</v>
      </c>
      <c r="Q48" s="11">
        <f t="shared" si="34"/>
        <v>1095.0619999999999</v>
      </c>
      <c r="R48" s="11">
        <f t="shared" si="34"/>
        <v>877.64099999999974</v>
      </c>
    </row>
    <row r="50" spans="1:21" s="10" customFormat="1" x14ac:dyDescent="0.2">
      <c r="A50" s="10" t="s">
        <v>6</v>
      </c>
      <c r="B50" s="10">
        <f t="shared" ref="B50:C50" si="35">+SUM(B39:B40)/B47</f>
        <v>0.64018195061226302</v>
      </c>
      <c r="C50" s="10">
        <f t="shared" si="35"/>
        <v>0.71899848774069297</v>
      </c>
      <c r="D50" s="10">
        <f t="shared" ref="D50:E50" si="36">+SUM(D39:D40)/D47</f>
        <v>0.71945460672552353</v>
      </c>
      <c r="E50" s="10">
        <f t="shared" si="36"/>
        <v>0.94372372840180352</v>
      </c>
      <c r="F50" s="10">
        <f t="shared" ref="F50" si="37">+SUM(F39:F40)/F47</f>
        <v>0.69634567874277542</v>
      </c>
      <c r="G50" s="10">
        <f t="shared" ref="G50:H50" si="38">+SUM(G39:G40)/G47</f>
        <v>0.77270501567627214</v>
      </c>
      <c r="H50" s="10">
        <f t="shared" si="38"/>
        <v>0.83977123269781873</v>
      </c>
      <c r="I50" s="10">
        <f t="shared" ref="I50:J50" si="39">+SUM(I39:I40)/I47</f>
        <v>1.331062541792768</v>
      </c>
      <c r="J50" s="10">
        <f t="shared" si="39"/>
        <v>1.2470124514678165</v>
      </c>
      <c r="K50" s="10">
        <f t="shared" ref="K50:L50" si="40">+SUM(K39:K40)/K47</f>
        <v>1.16129732858125</v>
      </c>
      <c r="L50" s="10">
        <f t="shared" si="40"/>
        <v>1.1237529919938372</v>
      </c>
      <c r="M50" s="10">
        <f t="shared" ref="M50:R50" si="41">+SUM(M39:M40)/M47</f>
        <v>1.1164494099650348</v>
      </c>
      <c r="N50" s="10">
        <f t="shared" si="41"/>
        <v>1.2731603163191949</v>
      </c>
      <c r="O50" s="10">
        <f t="shared" si="41"/>
        <v>1.595759298883255</v>
      </c>
      <c r="P50" s="10">
        <f t="shared" si="41"/>
        <v>1.6705773655951466</v>
      </c>
      <c r="Q50" s="10">
        <f t="shared" si="41"/>
        <v>1.6270080547556447</v>
      </c>
      <c r="R50" s="10">
        <f t="shared" si="41"/>
        <v>1.3807005427391119</v>
      </c>
    </row>
    <row r="51" spans="1:21" s="10" customFormat="1" x14ac:dyDescent="0.2">
      <c r="A51" s="10" t="s">
        <v>5</v>
      </c>
      <c r="B51" s="10">
        <f t="shared" ref="B51:C51" si="42">+B41/B47</f>
        <v>2.8287688884494462</v>
      </c>
      <c r="C51" s="10">
        <f t="shared" si="42"/>
        <v>2.5326149512228922</v>
      </c>
      <c r="D51" s="10">
        <f t="shared" ref="D51:E51" si="43">+D41/D47</f>
        <v>2.6183853390878666</v>
      </c>
      <c r="E51" s="10">
        <f t="shared" si="43"/>
        <v>3.0764260463106905</v>
      </c>
      <c r="F51" s="10">
        <f t="shared" ref="F51" si="44">+F41/F47</f>
        <v>2.8126471182281088</v>
      </c>
      <c r="G51" s="10">
        <f t="shared" ref="G51:H51" si="45">+G41/G47</f>
        <v>3.1134554113563766</v>
      </c>
      <c r="H51" s="10">
        <f t="shared" si="45"/>
        <v>2.9475694507855006</v>
      </c>
      <c r="I51" s="10">
        <f t="shared" ref="I51:J51" si="46">+I41/I47</f>
        <v>3.1040913870868541</v>
      </c>
      <c r="J51" s="10">
        <f t="shared" si="46"/>
        <v>2.9057297091595626</v>
      </c>
      <c r="K51" s="10">
        <f t="shared" ref="K51:R51" si="47">+K41/K47</f>
        <v>2.8638449482286283</v>
      </c>
      <c r="L51" s="10">
        <f t="shared" si="47"/>
        <v>2.6484504910996782</v>
      </c>
      <c r="M51" s="10">
        <f t="shared" si="47"/>
        <v>2.655322060751748</v>
      </c>
      <c r="N51" s="10">
        <f t="shared" si="47"/>
        <v>2.7830703091301223</v>
      </c>
      <c r="O51" s="10">
        <f t="shared" si="47"/>
        <v>2.8835932233197528</v>
      </c>
      <c r="P51" s="10">
        <f t="shared" si="47"/>
        <v>3.0620591311624015</v>
      </c>
      <c r="Q51" s="10">
        <f t="shared" si="47"/>
        <v>3.2923696840699472</v>
      </c>
      <c r="R51" s="10">
        <f t="shared" si="47"/>
        <v>3.4386599059919396</v>
      </c>
    </row>
    <row r="52" spans="1:21" s="10" customFormat="1" x14ac:dyDescent="0.2">
      <c r="A52" s="10" t="s">
        <v>4</v>
      </c>
      <c r="B52" s="10">
        <f t="shared" ref="B52:C52" si="48">+(B41-B44)/B47</f>
        <v>2.2792149835284485</v>
      </c>
      <c r="C52" s="10">
        <f t="shared" si="48"/>
        <v>1.9714546320898125</v>
      </c>
      <c r="D52" s="10">
        <f t="shared" ref="D52:E52" si="49">+(D41-D44)/D47</f>
        <v>1.9796021553976857</v>
      </c>
      <c r="E52" s="10">
        <f t="shared" si="49"/>
        <v>2.5626654258311716</v>
      </c>
      <c r="F52" s="10">
        <f t="shared" ref="F52" si="50">+(F41-F44)/F47</f>
        <v>2.4349085608048457</v>
      </c>
      <c r="G52" s="10">
        <f t="shared" ref="G52:H52" si="51">+(G41-G44)/G47</f>
        <v>2.8028126095249832</v>
      </c>
      <c r="H52" s="10">
        <f t="shared" si="51"/>
        <v>2.677871642633443</v>
      </c>
      <c r="I52" s="10">
        <f t="shared" ref="I52:J52" si="52">+(I41-I44)/I47</f>
        <v>2.6840328219844598</v>
      </c>
      <c r="J52" s="10">
        <f t="shared" si="52"/>
        <v>2.4296266528007191</v>
      </c>
      <c r="K52" s="10">
        <f t="shared" ref="K52:R52" si="53">+(K41-K44)/K47</f>
        <v>2.2553917120340716</v>
      </c>
      <c r="L52" s="10">
        <f t="shared" si="53"/>
        <v>1.9324290863069855</v>
      </c>
      <c r="M52" s="10">
        <f t="shared" si="53"/>
        <v>1.9806861888111884</v>
      </c>
      <c r="N52" s="10">
        <f t="shared" si="53"/>
        <v>2.1297023723939614</v>
      </c>
      <c r="O52" s="10">
        <f t="shared" si="53"/>
        <v>2.321559633027523</v>
      </c>
      <c r="P52" s="10">
        <f t="shared" si="53"/>
        <v>2.5695833623875601</v>
      </c>
      <c r="Q52" s="10">
        <f t="shared" si="53"/>
        <v>2.8972496974249826</v>
      </c>
      <c r="R52" s="10">
        <f t="shared" si="53"/>
        <v>3.2349111020998151</v>
      </c>
    </row>
    <row r="53" spans="1:21" s="6" customFormat="1" x14ac:dyDescent="0.2">
      <c r="A53" s="6" t="s">
        <v>3</v>
      </c>
      <c r="B53" s="6">
        <f t="shared" ref="B53:C53" si="54">+B48/B41</f>
        <v>0.23880622747883662</v>
      </c>
      <c r="C53" s="6">
        <f t="shared" si="54"/>
        <v>0.28289757714331581</v>
      </c>
      <c r="D53" s="6">
        <f t="shared" ref="D53:E53" si="55">+D48/D41</f>
        <v>0.27396946650577814</v>
      </c>
      <c r="E53" s="6">
        <f t="shared" si="55"/>
        <v>0.16910333039834988</v>
      </c>
      <c r="F53" s="6">
        <f t="shared" ref="F53" si="56">+F48/F41</f>
        <v>0.19353113403371869</v>
      </c>
      <c r="G53" s="6">
        <f t="shared" ref="G53:H53" si="57">+G48/G41</f>
        <v>0.16974002683704553</v>
      </c>
      <c r="H53" s="6">
        <f t="shared" si="57"/>
        <v>0.19804106155867077</v>
      </c>
      <c r="I53" s="6">
        <f t="shared" ref="I53:J53" si="58">+I48/I41</f>
        <v>0.19228277963802612</v>
      </c>
      <c r="J53" s="6">
        <f t="shared" si="58"/>
        <v>0.21979493408127737</v>
      </c>
      <c r="K53" s="6">
        <f t="shared" ref="K53:R53" si="59">+K48/K41</f>
        <v>0.23213481217686052</v>
      </c>
      <c r="L53" s="6">
        <f t="shared" si="59"/>
        <v>0.24721214943649819</v>
      </c>
      <c r="M53" s="6">
        <f t="shared" si="59"/>
        <v>0.21217768074676027</v>
      </c>
      <c r="N53" s="6">
        <f t="shared" si="59"/>
        <v>0.18710459162191195</v>
      </c>
      <c r="O53" s="6">
        <f t="shared" si="59"/>
        <v>0.18899029320626085</v>
      </c>
      <c r="P53" s="6">
        <f t="shared" si="59"/>
        <v>0.16833253668219814</v>
      </c>
      <c r="Q53" s="6">
        <f t="shared" si="59"/>
        <v>0.1388114131253908</v>
      </c>
      <c r="R53" s="6">
        <f t="shared" si="59"/>
        <v>0.120485356482574</v>
      </c>
    </row>
    <row r="54" spans="1:21" s="6" customFormat="1" x14ac:dyDescent="0.2">
      <c r="A54" s="8" t="s">
        <v>2</v>
      </c>
      <c r="B54" s="9"/>
      <c r="C54" s="9"/>
      <c r="D54" s="9"/>
      <c r="E54" s="9"/>
      <c r="F54" s="9"/>
      <c r="G54" s="9"/>
      <c r="H54" s="9"/>
      <c r="I54" s="9"/>
      <c r="J54" s="9"/>
      <c r="K54" s="9"/>
      <c r="L54" s="9"/>
      <c r="M54" s="9"/>
      <c r="N54" s="9"/>
      <c r="O54" s="9"/>
      <c r="P54" s="9"/>
      <c r="Q54" s="9"/>
      <c r="R54" s="9"/>
      <c r="S54" s="8"/>
      <c r="T54" s="8"/>
      <c r="U54" s="8"/>
    </row>
    <row r="55" spans="1:21" s="6" customFormat="1" x14ac:dyDescent="0.2">
      <c r="A55" s="6" t="s">
        <v>1</v>
      </c>
      <c r="B55" s="7" t="str">
        <f t="shared" ref="B55:C55" si="60">IF(B42=0,IF(B54="","","*"&amp;TEXT(B54,"0.0x")),(B41+B42-B44)/B47)</f>
        <v/>
      </c>
      <c r="C55" s="7" t="str">
        <f t="shared" si="60"/>
        <v/>
      </c>
      <c r="D55" s="7" t="str">
        <f t="shared" ref="D55:E55" si="61">IF(D42=0,IF(D54="","","*"&amp;TEXT(D54,"0.0x")),(D41+D42-D44)/D47)</f>
        <v/>
      </c>
      <c r="E55" s="7" t="str">
        <f t="shared" si="61"/>
        <v/>
      </c>
      <c r="F55" s="7" t="str">
        <f t="shared" ref="F55" si="62">IF(F42=0,IF(F54="","","*"&amp;TEXT(F54,"0.0x")),(F41+F42-F44)/F47)</f>
        <v/>
      </c>
      <c r="G55" s="7" t="str">
        <f t="shared" ref="G55:H55" si="63">IF(G42=0,IF(G54="","","*"&amp;TEXT(G54,"0.0x")),(G41+G42-G44)/G47)</f>
        <v/>
      </c>
      <c r="H55" s="7" t="str">
        <f t="shared" si="63"/>
        <v/>
      </c>
      <c r="I55" s="7" t="str">
        <f t="shared" ref="I55:J55" si="64">IF(I42=0,IF(I54="","","*"&amp;TEXT(I54,"0.0x")),(I41+I42-I44)/I47)</f>
        <v/>
      </c>
      <c r="J55" s="7" t="str">
        <f t="shared" si="64"/>
        <v/>
      </c>
      <c r="K55" s="7" t="str">
        <f t="shared" ref="K55:R55" si="65">IF(K42=0,IF(K54="","","*"&amp;TEXT(K54,"0.0x")),(K41+K42-K44)/K47)</f>
        <v/>
      </c>
      <c r="L55" s="7" t="str">
        <f t="shared" si="65"/>
        <v/>
      </c>
      <c r="M55" s="7" t="str">
        <f t="shared" si="65"/>
        <v/>
      </c>
      <c r="N55" s="7" t="str">
        <f t="shared" si="65"/>
        <v/>
      </c>
      <c r="O55" s="7" t="str">
        <f t="shared" si="65"/>
        <v/>
      </c>
      <c r="P55" s="7" t="str">
        <f t="shared" si="65"/>
        <v/>
      </c>
      <c r="Q55" s="7" t="str">
        <f t="shared" si="65"/>
        <v/>
      </c>
      <c r="R55" s="7" t="str">
        <f t="shared" si="65"/>
        <v/>
      </c>
      <c r="S55" s="7" t="str">
        <f>IF(S42=0,IF(S54="","",CONCATENATE("* ",S54,"x")),(S41+S42-S44)/S47)</f>
        <v/>
      </c>
      <c r="T55" s="7" t="str">
        <f>IF(T42=0,IF(T54="","",CONCATENATE("* ",T54,"x")),(T41+T42-T44)/T47)</f>
        <v/>
      </c>
      <c r="U55" s="7" t="str">
        <f>IF(U42=0,IF(U54="","",CONCATENATE("* ",U54,"x")),(U41+U42-U44)/U47)</f>
        <v/>
      </c>
    </row>
    <row r="56" spans="1:21" x14ac:dyDescent="0.2">
      <c r="R56" s="3"/>
    </row>
    <row r="57" spans="1:21" ht="80.25" customHeight="1" x14ac:dyDescent="0.2">
      <c r="A57" s="5" t="s">
        <v>0</v>
      </c>
      <c r="B57" s="4" t="s">
        <v>235</v>
      </c>
      <c r="C57" s="4" t="s">
        <v>235</v>
      </c>
      <c r="D57" s="4" t="s">
        <v>235</v>
      </c>
      <c r="E57" s="4" t="s">
        <v>235</v>
      </c>
      <c r="F57" s="4" t="s">
        <v>235</v>
      </c>
      <c r="G57" s="4" t="s">
        <v>235</v>
      </c>
      <c r="H57" s="4" t="s">
        <v>235</v>
      </c>
      <c r="I57" s="4" t="s">
        <v>235</v>
      </c>
      <c r="J57" s="4" t="s">
        <v>235</v>
      </c>
      <c r="K57" s="4"/>
      <c r="L57" s="4"/>
      <c r="M57" s="4"/>
      <c r="N57" s="4"/>
      <c r="O57" s="4"/>
      <c r="P57" s="4"/>
      <c r="Q57" s="4"/>
      <c r="R57" s="4"/>
      <c r="S57" s="4"/>
      <c r="T57" s="4"/>
      <c r="U57" s="4"/>
    </row>
    <row r="58" spans="1:21" x14ac:dyDescent="0.2">
      <c r="A58" s="2"/>
      <c r="B58" s="3"/>
      <c r="C58" s="3"/>
      <c r="D58" s="3"/>
      <c r="E58" s="3"/>
      <c r="F58" s="3"/>
      <c r="G58" s="3"/>
      <c r="H58" s="3"/>
      <c r="I58" s="3"/>
      <c r="J58" s="3"/>
      <c r="K58" s="3"/>
      <c r="L58" s="3"/>
      <c r="M58" s="3"/>
      <c r="N58" s="3"/>
    </row>
    <row r="59" spans="1:21" x14ac:dyDescent="0.2">
      <c r="A59" s="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T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0" width="10.7109375" style="1" customWidth="1"/>
    <col min="21" max="16384" width="9.140625" style="1"/>
  </cols>
  <sheetData>
    <row r="2" spans="1:20" x14ac:dyDescent="0.2">
      <c r="A2" s="34" t="s">
        <v>45</v>
      </c>
      <c r="B2" s="1" t="s">
        <v>178</v>
      </c>
    </row>
    <row r="3" spans="1:20" s="35" customFormat="1" x14ac:dyDescent="0.2">
      <c r="A3" s="36" t="s">
        <v>43</v>
      </c>
      <c r="B3" s="35" t="s">
        <v>177</v>
      </c>
    </row>
    <row r="4" spans="1:20" x14ac:dyDescent="0.2">
      <c r="A4" s="34" t="s">
        <v>41</v>
      </c>
      <c r="B4" s="1" t="s">
        <v>40</v>
      </c>
    </row>
    <row r="5" spans="1:20" x14ac:dyDescent="0.2">
      <c r="A5" s="34" t="s">
        <v>39</v>
      </c>
    </row>
    <row r="6" spans="1:20" x14ac:dyDescent="0.2">
      <c r="A6" s="34" t="s">
        <v>38</v>
      </c>
      <c r="B6" s="1">
        <v>3</v>
      </c>
    </row>
    <row r="7" spans="1:20" x14ac:dyDescent="0.2">
      <c r="A7" s="34" t="s">
        <v>37</v>
      </c>
      <c r="B7" s="1" t="s">
        <v>157</v>
      </c>
    </row>
    <row r="8" spans="1:20" x14ac:dyDescent="0.2">
      <c r="A8" s="34" t="s">
        <v>281</v>
      </c>
      <c r="B8" s="1" t="s">
        <v>297</v>
      </c>
    </row>
    <row r="9" spans="1:20" x14ac:dyDescent="0.2">
      <c r="A9" s="22"/>
    </row>
    <row r="10" spans="1:20" x14ac:dyDescent="0.2">
      <c r="A10" s="22" t="s">
        <v>36</v>
      </c>
      <c r="B10" s="33">
        <v>43921</v>
      </c>
      <c r="C10" s="33">
        <v>43830</v>
      </c>
      <c r="D10" s="33">
        <v>43738</v>
      </c>
      <c r="E10" s="33">
        <v>43646</v>
      </c>
      <c r="F10" s="33">
        <v>43555</v>
      </c>
      <c r="G10" s="33">
        <v>43465</v>
      </c>
      <c r="H10" s="33">
        <v>43372</v>
      </c>
      <c r="I10" s="33">
        <v>43281</v>
      </c>
      <c r="J10" s="33">
        <v>43190</v>
      </c>
      <c r="K10" s="33">
        <v>43100</v>
      </c>
      <c r="L10" s="33">
        <v>43008</v>
      </c>
      <c r="M10" s="33">
        <v>42916</v>
      </c>
      <c r="N10" s="33">
        <v>42825</v>
      </c>
      <c r="O10" s="33">
        <v>42735</v>
      </c>
      <c r="P10" s="33">
        <v>42643</v>
      </c>
      <c r="Q10" s="33">
        <v>42551</v>
      </c>
      <c r="R10" s="33">
        <v>42460</v>
      </c>
      <c r="S10" s="33">
        <v>42369</v>
      </c>
      <c r="T10" s="33">
        <v>42277</v>
      </c>
    </row>
    <row r="11" spans="1:20" x14ac:dyDescent="0.2">
      <c r="B11" s="11"/>
      <c r="C11" s="11"/>
    </row>
    <row r="12" spans="1:20" x14ac:dyDescent="0.2">
      <c r="A12" s="15" t="s">
        <v>35</v>
      </c>
      <c r="B12" s="19">
        <v>434.90000000000015</v>
      </c>
      <c r="C12" s="19">
        <f>2524.4-675.6-D12-E12-F12</f>
        <v>429.8000000000003</v>
      </c>
      <c r="D12" s="19">
        <v>473.3</v>
      </c>
      <c r="E12" s="19">
        <v>534.59999999999991</v>
      </c>
      <c r="F12" s="19">
        <v>411.1</v>
      </c>
      <c r="G12" s="19">
        <v>442.2</v>
      </c>
      <c r="H12" s="19">
        <v>460.5</v>
      </c>
      <c r="I12" s="19">
        <v>528.30000000000007</v>
      </c>
      <c r="J12" s="19">
        <v>377.6</v>
      </c>
      <c r="K12" s="19">
        <f>1663.9-N12-M12-L12</f>
        <v>407.30000000000007</v>
      </c>
      <c r="L12" s="19">
        <v>426.50000000000011</v>
      </c>
      <c r="M12" s="19">
        <v>471.39999999999992</v>
      </c>
      <c r="N12" s="19">
        <v>358.7</v>
      </c>
      <c r="O12" s="19">
        <f>1474.2-R12-Q12-P12</f>
        <v>384.49999999999989</v>
      </c>
      <c r="P12" s="19">
        <v>385.1</v>
      </c>
      <c r="Q12" s="19">
        <v>443.40000000000003</v>
      </c>
      <c r="R12" s="19">
        <v>261.2</v>
      </c>
      <c r="S12" s="19">
        <v>234.5</v>
      </c>
      <c r="T12" s="19">
        <v>279.5</v>
      </c>
    </row>
    <row r="13" spans="1:20" s="28" customFormat="1" x14ac:dyDescent="0.2">
      <c r="A13" s="28" t="s">
        <v>34</v>
      </c>
      <c r="B13" s="28">
        <f t="shared" ref="B13:P13" si="0">+B12/F12-1</f>
        <v>5.7893456579907854E-2</v>
      </c>
      <c r="C13" s="28">
        <f t="shared" si="0"/>
        <v>-2.8041610131161687E-2</v>
      </c>
      <c r="D13" s="28">
        <f t="shared" si="0"/>
        <v>2.7795874049945768E-2</v>
      </c>
      <c r="E13" s="28">
        <f t="shared" si="0"/>
        <v>1.1925042589437496E-2</v>
      </c>
      <c r="F13" s="28">
        <f t="shared" si="0"/>
        <v>8.8718220338983134E-2</v>
      </c>
      <c r="G13" s="28">
        <f t="shared" si="0"/>
        <v>8.5686226368769658E-2</v>
      </c>
      <c r="H13" s="28">
        <f t="shared" si="0"/>
        <v>7.9718640093786375E-2</v>
      </c>
      <c r="I13" s="28">
        <f t="shared" si="0"/>
        <v>0.12070428510818876</v>
      </c>
      <c r="J13" s="28">
        <f t="shared" si="0"/>
        <v>5.2690270420964636E-2</v>
      </c>
      <c r="K13" s="28">
        <f t="shared" si="0"/>
        <v>5.9297789336801632E-2</v>
      </c>
      <c r="L13" s="28">
        <f t="shared" si="0"/>
        <v>0.10750454427421463</v>
      </c>
      <c r="M13" s="28">
        <f t="shared" si="0"/>
        <v>6.3148398737031819E-2</v>
      </c>
      <c r="N13" s="28">
        <f t="shared" si="0"/>
        <v>0.37327718223583473</v>
      </c>
      <c r="O13" s="28">
        <f t="shared" si="0"/>
        <v>0.63965884861407196</v>
      </c>
      <c r="P13" s="28">
        <f t="shared" si="0"/>
        <v>0.37781753130590356</v>
      </c>
    </row>
    <row r="14" spans="1:20"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1"/>
      <c r="R14" s="31"/>
      <c r="S14" s="31"/>
      <c r="T14" s="31"/>
    </row>
    <row r="16" spans="1:20" s="22" customFormat="1" x14ac:dyDescent="0.2">
      <c r="A16" s="30" t="s">
        <v>31</v>
      </c>
      <c r="B16" s="29">
        <v>81.300000000000011</v>
      </c>
      <c r="C16" s="29">
        <f>-28.1+43.7+0.5+31.2-1.9+6+0.2+0.1</f>
        <v>51.7</v>
      </c>
      <c r="D16" s="29">
        <v>57.2</v>
      </c>
      <c r="E16" s="29">
        <v>83.4</v>
      </c>
      <c r="F16" s="29">
        <v>43.900000000000006</v>
      </c>
      <c r="G16" s="29">
        <v>34.999999999999986</v>
      </c>
      <c r="H16" s="29">
        <v>49.900000000000006</v>
      </c>
      <c r="I16" s="29">
        <v>65.500000000000014</v>
      </c>
      <c r="J16" s="29">
        <v>40.9</v>
      </c>
      <c r="K16" s="29">
        <f>K22-K21-K20-K19</f>
        <v>42.90000000000002</v>
      </c>
      <c r="L16" s="29">
        <v>46.2</v>
      </c>
      <c r="M16" s="29">
        <v>66.599999999999994</v>
      </c>
      <c r="N16" s="29">
        <v>37.800000000000004</v>
      </c>
      <c r="O16" s="29">
        <v>44.399999999999991</v>
      </c>
      <c r="P16" s="29">
        <v>53.699999999999996</v>
      </c>
      <c r="Q16" s="29">
        <v>73.3</v>
      </c>
      <c r="R16" s="29">
        <v>31.6</v>
      </c>
      <c r="S16" s="29">
        <v>34.5</v>
      </c>
      <c r="T16" s="29">
        <v>48.711000000000006</v>
      </c>
    </row>
    <row r="17" spans="1:20" s="28" customFormat="1" x14ac:dyDescent="0.2">
      <c r="A17" s="28" t="s">
        <v>30</v>
      </c>
      <c r="B17" s="28">
        <f t="shared" ref="B17:T17" si="1">+B16/B12</f>
        <v>0.18693952632789143</v>
      </c>
      <c r="C17" s="28">
        <f t="shared" si="1"/>
        <v>0.12028850628199154</v>
      </c>
      <c r="D17" s="28">
        <f t="shared" si="1"/>
        <v>0.12085358123811536</v>
      </c>
      <c r="E17" s="28">
        <f t="shared" si="1"/>
        <v>0.15600448933782271</v>
      </c>
      <c r="F17" s="28">
        <f t="shared" si="1"/>
        <v>0.10678666990999758</v>
      </c>
      <c r="G17" s="28">
        <f t="shared" si="1"/>
        <v>7.914970601537763E-2</v>
      </c>
      <c r="H17" s="28">
        <f t="shared" si="1"/>
        <v>0.10836047774158525</v>
      </c>
      <c r="I17" s="28">
        <f t="shared" si="1"/>
        <v>0.12398258565209162</v>
      </c>
      <c r="J17" s="28">
        <f t="shared" si="1"/>
        <v>0.10831567796610168</v>
      </c>
      <c r="K17" s="28">
        <f t="shared" si="1"/>
        <v>0.10532776822980607</v>
      </c>
      <c r="L17" s="28">
        <f t="shared" si="1"/>
        <v>0.10832356389214534</v>
      </c>
      <c r="M17" s="28">
        <f t="shared" si="1"/>
        <v>0.1412812897751379</v>
      </c>
      <c r="N17" s="28">
        <f t="shared" si="1"/>
        <v>0.1053805408419292</v>
      </c>
      <c r="O17" s="28">
        <f t="shared" si="1"/>
        <v>0.11547464239271783</v>
      </c>
      <c r="P17" s="28">
        <f t="shared" si="1"/>
        <v>0.13944430018177095</v>
      </c>
      <c r="Q17" s="28">
        <f t="shared" si="1"/>
        <v>0.16531348669373025</v>
      </c>
      <c r="R17" s="28">
        <f t="shared" si="1"/>
        <v>0.1209800918836141</v>
      </c>
      <c r="S17" s="28">
        <f t="shared" si="1"/>
        <v>0.14712153518123666</v>
      </c>
      <c r="T17" s="28">
        <f t="shared" si="1"/>
        <v>0.17427906976744187</v>
      </c>
    </row>
    <row r="18" spans="1:20" s="23" customFormat="1" x14ac:dyDescent="0.2"/>
    <row r="19" spans="1:20"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row>
    <row r="20" spans="1:20" s="23" customFormat="1" x14ac:dyDescent="0.2">
      <c r="A20" s="15" t="s">
        <v>28</v>
      </c>
      <c r="B20" s="19">
        <v>-4.3</v>
      </c>
      <c r="C20" s="19">
        <f>10.4-8.8+1.1</f>
        <v>2.6999999999999997</v>
      </c>
      <c r="D20" s="19">
        <v>19.599999999999998</v>
      </c>
      <c r="E20" s="19">
        <v>5.5</v>
      </c>
      <c r="F20" s="19">
        <v>3.8</v>
      </c>
      <c r="G20" s="19">
        <v>16.099999999999998</v>
      </c>
      <c r="H20" s="19">
        <v>2.9</v>
      </c>
      <c r="I20" s="19">
        <v>4.5</v>
      </c>
      <c r="J20" s="19">
        <v>-1.6</v>
      </c>
      <c r="K20" s="19">
        <f>16.5+7.5-N20-M20-L20</f>
        <v>6.8</v>
      </c>
      <c r="L20" s="19">
        <v>4.2</v>
      </c>
      <c r="M20" s="19">
        <v>6.8</v>
      </c>
      <c r="N20" s="19">
        <v>6.2</v>
      </c>
      <c r="O20" s="19">
        <v>4.2</v>
      </c>
      <c r="P20" s="19">
        <v>8.6999999999999993</v>
      </c>
      <c r="Q20" s="19">
        <v>4.4000000000000004</v>
      </c>
      <c r="R20" s="19">
        <v>11.6</v>
      </c>
      <c r="S20" s="19">
        <v>8.1999999999999993</v>
      </c>
      <c r="T20" s="19">
        <v>4.13</v>
      </c>
    </row>
    <row r="21" spans="1:20" s="23" customFormat="1" x14ac:dyDescent="0.2">
      <c r="A21" s="15" t="s">
        <v>18</v>
      </c>
      <c r="B21" s="19">
        <f t="shared" ref="B21:J21" si="2">B22-B16-B19-B20</f>
        <v>9.999999999999698E-2</v>
      </c>
      <c r="C21" s="19">
        <f t="shared" si="2"/>
        <v>2.8000000000000003</v>
      </c>
      <c r="D21" s="19">
        <f t="shared" si="2"/>
        <v>0.10000000000000497</v>
      </c>
      <c r="E21" s="19">
        <f t="shared" si="2"/>
        <v>9.9999999999994316E-2</v>
      </c>
      <c r="F21" s="19">
        <f t="shared" si="2"/>
        <v>9.9999999999998757E-2</v>
      </c>
      <c r="G21" s="19">
        <f t="shared" si="2"/>
        <v>2.0000000000000178</v>
      </c>
      <c r="H21" s="19">
        <f t="shared" si="2"/>
        <v>0</v>
      </c>
      <c r="I21" s="19">
        <f t="shared" si="2"/>
        <v>0</v>
      </c>
      <c r="J21" s="19">
        <f t="shared" si="2"/>
        <v>0</v>
      </c>
      <c r="K21" s="19">
        <v>0.1</v>
      </c>
      <c r="L21" s="19">
        <v>0.1</v>
      </c>
      <c r="M21" s="19">
        <v>0.1</v>
      </c>
      <c r="N21" s="19">
        <v>0.1</v>
      </c>
      <c r="O21" s="19">
        <v>0.1</v>
      </c>
      <c r="P21" s="19">
        <v>0.1</v>
      </c>
      <c r="Q21" s="19">
        <v>0.2</v>
      </c>
      <c r="R21" s="19">
        <v>0.2</v>
      </c>
      <c r="S21" s="19">
        <v>0</v>
      </c>
      <c r="T21" s="19">
        <v>0.45900000000000002</v>
      </c>
    </row>
    <row r="22" spans="1:20" s="22" customFormat="1" x14ac:dyDescent="0.2">
      <c r="A22" s="22" t="s">
        <v>23</v>
      </c>
      <c r="B22" s="61">
        <v>77.100000000000009</v>
      </c>
      <c r="C22" s="61">
        <v>57.2</v>
      </c>
      <c r="D22" s="61">
        <v>76.900000000000006</v>
      </c>
      <c r="E22" s="61">
        <v>89</v>
      </c>
      <c r="F22" s="61">
        <v>47.800000000000004</v>
      </c>
      <c r="G22" s="61">
        <v>53.1</v>
      </c>
      <c r="H22" s="61">
        <v>52.800000000000004</v>
      </c>
      <c r="I22" s="61">
        <v>70.000000000000014</v>
      </c>
      <c r="J22" s="61">
        <v>39.299999999999997</v>
      </c>
      <c r="K22" s="61">
        <f>217.9-N22-M22-L22</f>
        <v>49.800000000000018</v>
      </c>
      <c r="L22" s="20">
        <f>SUM(L16,L19:L21)</f>
        <v>50.500000000000007</v>
      </c>
      <c r="M22" s="20">
        <f>SUM(M16,M19:M21)</f>
        <v>73.499999999999986</v>
      </c>
      <c r="N22" s="20">
        <f>SUM(N16,N19:N21)</f>
        <v>44.100000000000009</v>
      </c>
      <c r="O22" s="20">
        <f>228.9-R22-Q22-P22</f>
        <v>45.1</v>
      </c>
      <c r="P22" s="20">
        <f>SUM(P16,P19:P21)</f>
        <v>62.499999999999993</v>
      </c>
      <c r="Q22" s="20">
        <f>SUM(Q16,Q19:Q21)</f>
        <v>77.900000000000006</v>
      </c>
      <c r="R22" s="20">
        <f>SUM(R16,R19:R21)</f>
        <v>43.400000000000006</v>
      </c>
      <c r="S22" s="20">
        <f>SUM(S16,S19:S21)</f>
        <v>42.7</v>
      </c>
      <c r="T22" s="20">
        <f>SUM(T16,T19:T21)</f>
        <v>53.300000000000011</v>
      </c>
    </row>
    <row r="23" spans="1:20" s="22" customFormat="1" x14ac:dyDescent="0.2">
      <c r="B23" s="20"/>
      <c r="C23" s="20"/>
      <c r="D23" s="20"/>
      <c r="E23" s="20"/>
      <c r="F23" s="20"/>
      <c r="G23" s="20"/>
      <c r="H23" s="20"/>
      <c r="I23" s="20"/>
      <c r="J23" s="20"/>
      <c r="K23" s="20"/>
      <c r="L23" s="20"/>
      <c r="M23" s="20"/>
      <c r="N23" s="20"/>
      <c r="O23" s="20"/>
      <c r="P23" s="20"/>
      <c r="Q23" s="20"/>
      <c r="R23" s="20"/>
      <c r="S23" s="20"/>
      <c r="T23" s="20"/>
    </row>
    <row r="24" spans="1:20" s="22" customFormat="1" x14ac:dyDescent="0.2">
      <c r="A24" s="22" t="s">
        <v>27</v>
      </c>
      <c r="B24" s="63">
        <f t="shared" ref="B24:O24" si="3">C24+B22-F22</f>
        <v>300.2</v>
      </c>
      <c r="C24" s="63">
        <f t="shared" si="3"/>
        <v>270.89999999999998</v>
      </c>
      <c r="D24" s="63">
        <f t="shared" si="3"/>
        <v>266.8</v>
      </c>
      <c r="E24" s="63">
        <f t="shared" si="3"/>
        <v>242.70000000000005</v>
      </c>
      <c r="F24" s="63">
        <f t="shared" si="3"/>
        <v>223.70000000000005</v>
      </c>
      <c r="G24" s="63">
        <f t="shared" si="3"/>
        <v>215.20000000000005</v>
      </c>
      <c r="H24" s="63">
        <f t="shared" si="3"/>
        <v>211.90000000000003</v>
      </c>
      <c r="I24" s="63">
        <f t="shared" si="3"/>
        <v>209.60000000000002</v>
      </c>
      <c r="J24" s="63">
        <f t="shared" si="3"/>
        <v>213.10000000000002</v>
      </c>
      <c r="K24" s="63">
        <f t="shared" si="3"/>
        <v>217.90000000000006</v>
      </c>
      <c r="L24" s="63">
        <f t="shared" si="3"/>
        <v>213.20000000000005</v>
      </c>
      <c r="M24" s="63">
        <f t="shared" si="3"/>
        <v>225.20000000000002</v>
      </c>
      <c r="N24" s="63">
        <f t="shared" si="3"/>
        <v>229.60000000000005</v>
      </c>
      <c r="O24" s="63">
        <f t="shared" si="3"/>
        <v>228.90000000000003</v>
      </c>
      <c r="P24" s="20">
        <f>SUM(P22:S22)</f>
        <v>226.5</v>
      </c>
      <c r="Q24" s="20">
        <f>SUM(Q22:T22)</f>
        <v>217.3</v>
      </c>
      <c r="R24" s="20"/>
      <c r="S24" s="20"/>
      <c r="T24" s="20"/>
    </row>
    <row r="25" spans="1:20" s="23" customFormat="1" x14ac:dyDescent="0.2">
      <c r="A25" s="15" t="s">
        <v>26</v>
      </c>
      <c r="B25" s="27">
        <f>305.9-B24</f>
        <v>5.6999999999999886</v>
      </c>
      <c r="C25" s="27">
        <v>0.5</v>
      </c>
      <c r="D25" s="27">
        <f>281.7-D24</f>
        <v>14.899999999999977</v>
      </c>
      <c r="E25" s="27">
        <f>263.8-E24</f>
        <v>21.099999999999966</v>
      </c>
      <c r="F25" s="27">
        <f>258.5-F24</f>
        <v>34.799999999999955</v>
      </c>
      <c r="G25" s="27">
        <f>235.7-G24</f>
        <v>20.499999999999943</v>
      </c>
      <c r="H25" s="27">
        <f>240.4-H24</f>
        <v>28.499999999999972</v>
      </c>
      <c r="I25" s="27">
        <f>2+5+1+11</f>
        <v>19</v>
      </c>
      <c r="J25" s="27">
        <f>226.3-J24</f>
        <v>13.199999999999989</v>
      </c>
      <c r="K25" s="27">
        <f>7.6+0.3</f>
        <v>7.8999999999999995</v>
      </c>
      <c r="L25" s="27">
        <v>12.7</v>
      </c>
      <c r="M25" s="27">
        <v>17.7</v>
      </c>
      <c r="N25" s="27">
        <v>3.3</v>
      </c>
      <c r="O25" s="27">
        <v>11.2</v>
      </c>
      <c r="P25" s="27">
        <v>0</v>
      </c>
      <c r="Q25" s="27">
        <v>0</v>
      </c>
      <c r="R25" s="27"/>
      <c r="S25" s="27"/>
      <c r="T25" s="27"/>
    </row>
    <row r="26" spans="1:20" s="23" customFormat="1" x14ac:dyDescent="0.2">
      <c r="A26" s="15" t="s">
        <v>25</v>
      </c>
      <c r="B26" s="21">
        <v>0</v>
      </c>
      <c r="C26" s="21">
        <f>279.8-C25-C24</f>
        <v>8.4000000000000341</v>
      </c>
      <c r="D26" s="21">
        <v>0</v>
      </c>
      <c r="E26" s="21">
        <v>0</v>
      </c>
      <c r="F26" s="21">
        <v>0</v>
      </c>
      <c r="G26" s="21">
        <v>0</v>
      </c>
      <c r="H26" s="21">
        <v>0</v>
      </c>
      <c r="I26" s="21">
        <v>0</v>
      </c>
      <c r="J26" s="21">
        <v>0</v>
      </c>
      <c r="K26" s="21">
        <v>0</v>
      </c>
      <c r="L26" s="21">
        <v>0</v>
      </c>
      <c r="M26" s="21">
        <v>0</v>
      </c>
      <c r="N26" s="21">
        <v>0</v>
      </c>
      <c r="O26" s="21">
        <v>0</v>
      </c>
      <c r="P26" s="21">
        <v>0</v>
      </c>
      <c r="Q26" s="21">
        <v>0</v>
      </c>
      <c r="R26" s="26"/>
      <c r="S26" s="26"/>
      <c r="T26" s="26"/>
    </row>
    <row r="27" spans="1:20" s="24" customFormat="1" x14ac:dyDescent="0.2">
      <c r="A27" s="22" t="s">
        <v>24</v>
      </c>
      <c r="B27" s="20">
        <f t="shared" ref="B27:C27" si="4">SUM(B24:B26)</f>
        <v>305.89999999999998</v>
      </c>
      <c r="C27" s="20">
        <f t="shared" si="4"/>
        <v>279.8</v>
      </c>
      <c r="D27" s="20">
        <f t="shared" ref="D27:Q27" si="5">SUM(D24:D26)</f>
        <v>281.7</v>
      </c>
      <c r="E27" s="20">
        <f t="shared" si="5"/>
        <v>263.8</v>
      </c>
      <c r="F27" s="20">
        <f t="shared" si="5"/>
        <v>258.5</v>
      </c>
      <c r="G27" s="20">
        <f t="shared" si="5"/>
        <v>235.7</v>
      </c>
      <c r="H27" s="20">
        <f t="shared" si="5"/>
        <v>240.4</v>
      </c>
      <c r="I27" s="20">
        <f t="shared" si="5"/>
        <v>228.60000000000002</v>
      </c>
      <c r="J27" s="20">
        <f t="shared" si="5"/>
        <v>226.3</v>
      </c>
      <c r="K27" s="20">
        <f t="shared" si="5"/>
        <v>225.80000000000007</v>
      </c>
      <c r="L27" s="20">
        <f t="shared" si="5"/>
        <v>225.90000000000003</v>
      </c>
      <c r="M27" s="20">
        <f t="shared" si="5"/>
        <v>242.9</v>
      </c>
      <c r="N27" s="20">
        <f t="shared" si="5"/>
        <v>232.90000000000006</v>
      </c>
      <c r="O27" s="20">
        <f t="shared" si="5"/>
        <v>240.10000000000002</v>
      </c>
      <c r="P27" s="20">
        <f t="shared" si="5"/>
        <v>226.5</v>
      </c>
      <c r="Q27" s="20">
        <f t="shared" si="5"/>
        <v>217.3</v>
      </c>
      <c r="R27" s="25"/>
      <c r="S27" s="25"/>
      <c r="T27" s="25"/>
    </row>
    <row r="28" spans="1:20" s="23" customFormat="1" x14ac:dyDescent="0.2"/>
    <row r="29" spans="1:20" s="22" customFormat="1" x14ac:dyDescent="0.2">
      <c r="A29" s="22" t="s">
        <v>23</v>
      </c>
      <c r="B29" s="20">
        <f t="shared" ref="B29:T29" si="6">B22</f>
        <v>77.100000000000009</v>
      </c>
      <c r="C29" s="20">
        <f t="shared" si="6"/>
        <v>57.2</v>
      </c>
      <c r="D29" s="20">
        <f t="shared" si="6"/>
        <v>76.900000000000006</v>
      </c>
      <c r="E29" s="20">
        <f t="shared" si="6"/>
        <v>89</v>
      </c>
      <c r="F29" s="20">
        <f t="shared" si="6"/>
        <v>47.800000000000004</v>
      </c>
      <c r="G29" s="20">
        <f t="shared" si="6"/>
        <v>53.1</v>
      </c>
      <c r="H29" s="20">
        <f t="shared" si="6"/>
        <v>52.800000000000004</v>
      </c>
      <c r="I29" s="20">
        <f t="shared" si="6"/>
        <v>70.000000000000014</v>
      </c>
      <c r="J29" s="20">
        <f t="shared" si="6"/>
        <v>39.299999999999997</v>
      </c>
      <c r="K29" s="20">
        <f t="shared" si="6"/>
        <v>49.800000000000018</v>
      </c>
      <c r="L29" s="20">
        <f t="shared" si="6"/>
        <v>50.500000000000007</v>
      </c>
      <c r="M29" s="20">
        <f t="shared" si="6"/>
        <v>73.499999999999986</v>
      </c>
      <c r="N29" s="20">
        <f t="shared" si="6"/>
        <v>44.100000000000009</v>
      </c>
      <c r="O29" s="20">
        <f t="shared" si="6"/>
        <v>45.1</v>
      </c>
      <c r="P29" s="20">
        <f t="shared" si="6"/>
        <v>62.499999999999993</v>
      </c>
      <c r="Q29" s="20">
        <f t="shared" si="6"/>
        <v>77.900000000000006</v>
      </c>
      <c r="R29" s="20">
        <f t="shared" si="6"/>
        <v>43.400000000000006</v>
      </c>
      <c r="S29" s="20">
        <f t="shared" si="6"/>
        <v>42.7</v>
      </c>
      <c r="T29" s="20">
        <f t="shared" si="6"/>
        <v>53.300000000000011</v>
      </c>
    </row>
    <row r="30" spans="1:20" s="11" customFormat="1" x14ac:dyDescent="0.2">
      <c r="A30" s="19" t="s">
        <v>22</v>
      </c>
      <c r="B30" s="19">
        <v>-59.88</v>
      </c>
      <c r="C30" s="19">
        <f>-165.299-D30-E30-F30</f>
        <v>-32.068000000000012</v>
      </c>
      <c r="D30" s="19">
        <v>-49.619</v>
      </c>
      <c r="E30" s="19">
        <v>-23.120999999999999</v>
      </c>
      <c r="F30" s="19">
        <v>-60.491</v>
      </c>
      <c r="G30" s="19">
        <v>-35.88300000000001</v>
      </c>
      <c r="H30" s="19">
        <v>-56.587000000000003</v>
      </c>
      <c r="I30" s="19">
        <v>-15.808999999999999</v>
      </c>
      <c r="J30" s="19">
        <v>-36.613999999999997</v>
      </c>
      <c r="K30" s="19">
        <f>-130.247-N30-M30-L30</f>
        <v>-9.2120000000000033</v>
      </c>
      <c r="L30" s="19">
        <v>-53.920999999999999</v>
      </c>
      <c r="M30" s="19">
        <v>-34.094000000000001</v>
      </c>
      <c r="N30" s="19">
        <v>-33.020000000000003</v>
      </c>
      <c r="O30" s="19">
        <v>-30</v>
      </c>
      <c r="P30" s="19">
        <v>-30.303999999999998</v>
      </c>
      <c r="Q30" s="19">
        <v>-30.866</v>
      </c>
      <c r="R30" s="19">
        <v>-27.835000000000001</v>
      </c>
      <c r="S30" s="19">
        <v>-24.03</v>
      </c>
      <c r="T30" s="19">
        <v>-20.3</v>
      </c>
    </row>
    <row r="31" spans="1:20" s="11" customFormat="1" x14ac:dyDescent="0.2">
      <c r="A31" s="19" t="s">
        <v>21</v>
      </c>
      <c r="B31" s="19">
        <v>-1.423</v>
      </c>
      <c r="C31" s="19">
        <f>-7.516-D31-E31-F31</f>
        <v>-2.2170000000000001</v>
      </c>
      <c r="D31" s="19">
        <v>-1.4430000000000001</v>
      </c>
      <c r="E31" s="19">
        <v>-2.74</v>
      </c>
      <c r="F31" s="19">
        <v>-1.1160000000000001</v>
      </c>
      <c r="G31" s="19">
        <v>5.9270000000000005</v>
      </c>
      <c r="H31" s="19">
        <v>-2.0710000000000002</v>
      </c>
      <c r="I31" s="19">
        <v>-1.1579999999999999</v>
      </c>
      <c r="J31" s="19">
        <v>-2.2400000000000002</v>
      </c>
      <c r="K31" s="19">
        <f>-9.129-N31-M31-L31</f>
        <v>-3.5380000000000003</v>
      </c>
      <c r="L31" s="19">
        <v>-4.1719999999999997</v>
      </c>
      <c r="M31" s="19">
        <v>0.93100000000000005</v>
      </c>
      <c r="N31" s="19">
        <v>-2.35</v>
      </c>
      <c r="O31" s="19">
        <v>-1.54</v>
      </c>
      <c r="P31" s="19">
        <v>3.2000000000000002E-3</v>
      </c>
      <c r="Q31" s="19">
        <v>0.104</v>
      </c>
      <c r="R31" s="19">
        <v>2.1000000000000001E-2</v>
      </c>
      <c r="S31" s="19">
        <v>3.4229999999999983</v>
      </c>
      <c r="T31" s="19">
        <v>-7.1999999999999995E-2</v>
      </c>
    </row>
    <row r="32" spans="1:20" s="11" customFormat="1" x14ac:dyDescent="0.2">
      <c r="A32" s="19" t="s">
        <v>20</v>
      </c>
      <c r="B32" s="19">
        <v>-112.694</v>
      </c>
      <c r="C32" s="19">
        <f>-11.166-D32-E32-F32</f>
        <v>16.042000000000002</v>
      </c>
      <c r="D32" s="19">
        <v>81.373999999999995</v>
      </c>
      <c r="E32" s="19">
        <v>1.28</v>
      </c>
      <c r="F32" s="19">
        <v>-109.86199999999999</v>
      </c>
      <c r="G32" s="19">
        <v>28.201999999999998</v>
      </c>
      <c r="H32" s="19">
        <v>63.808</v>
      </c>
      <c r="I32" s="19">
        <v>16.491</v>
      </c>
      <c r="J32" s="19">
        <v>-77.528999999999996</v>
      </c>
      <c r="K32" s="19">
        <f>61.148-L32-M32-N32</f>
        <v>13.840000000000003</v>
      </c>
      <c r="L32" s="19">
        <v>90.102999999999994</v>
      </c>
      <c r="M32" s="19">
        <v>27.669</v>
      </c>
      <c r="N32" s="19">
        <v>-70.463999999999999</v>
      </c>
      <c r="O32" s="19">
        <v>-29.517000000000003</v>
      </c>
      <c r="P32" s="19">
        <v>64.805000000000007</v>
      </c>
      <c r="Q32" s="19">
        <v>-22.864999999999998</v>
      </c>
      <c r="R32" s="19">
        <v>-42.271000000000001</v>
      </c>
      <c r="S32" s="19">
        <v>-12.600000000000003</v>
      </c>
      <c r="T32" s="19">
        <v>43.734999999999999</v>
      </c>
    </row>
    <row r="33" spans="1:20" s="11" customFormat="1" x14ac:dyDescent="0.2">
      <c r="A33" s="19" t="s">
        <v>19</v>
      </c>
      <c r="B33" s="19">
        <f>-B19-B20-B21</f>
        <v>4.2000000000000028</v>
      </c>
      <c r="C33" s="19">
        <f>-C19-C20-C21</f>
        <v>-5.5</v>
      </c>
      <c r="D33" s="19">
        <f>-D19-D20-D21</f>
        <v>-19.700000000000003</v>
      </c>
      <c r="E33" s="19">
        <f t="shared" ref="E33:J33" si="7">-E19-E20-E21</f>
        <v>-5.5999999999999943</v>
      </c>
      <c r="F33" s="19">
        <f t="shared" si="7"/>
        <v>-3.8999999999999986</v>
      </c>
      <c r="G33" s="19">
        <f t="shared" si="7"/>
        <v>-18.100000000000016</v>
      </c>
      <c r="H33" s="19">
        <f t="shared" si="7"/>
        <v>-2.9</v>
      </c>
      <c r="I33" s="19">
        <f t="shared" si="7"/>
        <v>-4.5</v>
      </c>
      <c r="J33" s="19">
        <f t="shared" si="7"/>
        <v>1.6</v>
      </c>
      <c r="K33" s="19">
        <f t="shared" ref="K33:T33" si="8">-K19-K20-K21</f>
        <v>-6.8999999999999995</v>
      </c>
      <c r="L33" s="19">
        <f t="shared" si="8"/>
        <v>-4.3</v>
      </c>
      <c r="M33" s="19">
        <f t="shared" si="8"/>
        <v>-6.8999999999999995</v>
      </c>
      <c r="N33" s="19">
        <f t="shared" si="8"/>
        <v>-6.3</v>
      </c>
      <c r="O33" s="19">
        <f t="shared" si="8"/>
        <v>-4.3</v>
      </c>
      <c r="P33" s="19">
        <f t="shared" si="8"/>
        <v>-8.7999999999999989</v>
      </c>
      <c r="Q33" s="19">
        <f t="shared" si="8"/>
        <v>-4.6000000000000005</v>
      </c>
      <c r="R33" s="19">
        <f t="shared" si="8"/>
        <v>-11.799999999999999</v>
      </c>
      <c r="S33" s="19">
        <f t="shared" si="8"/>
        <v>-8.1999999999999993</v>
      </c>
      <c r="T33" s="19">
        <f t="shared" si="8"/>
        <v>-4.5889999999999995</v>
      </c>
    </row>
    <row r="34" spans="1:20" s="11" customFormat="1" x14ac:dyDescent="0.2">
      <c r="A34" s="19" t="s">
        <v>18</v>
      </c>
      <c r="B34" s="21">
        <f t="shared" ref="B34:C34" si="9">B35-B29-B30-B31-B32-B33</f>
        <v>7.8389999999999702</v>
      </c>
      <c r="C34" s="21">
        <f t="shared" si="9"/>
        <v>-18.806000000000012</v>
      </c>
      <c r="D34" s="21">
        <f t="shared" ref="D34:T34" si="10">D35-D29-D30-D31-D32-D33</f>
        <v>12.856999999999999</v>
      </c>
      <c r="E34" s="21">
        <f t="shared" si="10"/>
        <v>-18.704000000000008</v>
      </c>
      <c r="F34" s="21">
        <f t="shared" si="10"/>
        <v>6.7489999999999881</v>
      </c>
      <c r="G34" s="21">
        <f t="shared" si="10"/>
        <v>-10.316999999999979</v>
      </c>
      <c r="H34" s="21">
        <f t="shared" si="10"/>
        <v>12.481000000000011</v>
      </c>
      <c r="I34" s="21">
        <f t="shared" si="10"/>
        <v>-24.696000000000012</v>
      </c>
      <c r="J34" s="21">
        <f t="shared" si="10"/>
        <v>-3.9040000000000163</v>
      </c>
      <c r="K34" s="21">
        <f t="shared" si="10"/>
        <v>-24.747000000000039</v>
      </c>
      <c r="L34" s="21">
        <f t="shared" si="10"/>
        <v>19.374999999999989</v>
      </c>
      <c r="M34" s="21">
        <f t="shared" si="10"/>
        <v>-2.8609999999999891</v>
      </c>
      <c r="N34" s="21">
        <f t="shared" si="10"/>
        <v>-3.0720000000000143</v>
      </c>
      <c r="O34" s="21">
        <f t="shared" si="10"/>
        <v>-5.2509999999999879</v>
      </c>
      <c r="P34" s="21">
        <f t="shared" si="10"/>
        <v>-7.2652000000000125</v>
      </c>
      <c r="Q34" s="21">
        <f t="shared" si="10"/>
        <v>-17.251000000000008</v>
      </c>
      <c r="R34" s="21">
        <f t="shared" si="10"/>
        <v>-4.3130000000000077</v>
      </c>
      <c r="S34" s="21">
        <f t="shared" si="10"/>
        <v>-13.293000000000003</v>
      </c>
      <c r="T34" s="21">
        <f t="shared" si="10"/>
        <v>-91.974000000000018</v>
      </c>
    </row>
    <row r="35" spans="1:20" s="20" customFormat="1" x14ac:dyDescent="0.2">
      <c r="A35" s="20" t="s">
        <v>17</v>
      </c>
      <c r="B35" s="20">
        <v>-84.858000000000004</v>
      </c>
      <c r="C35" s="20">
        <f>34.315-D35-E35-F35</f>
        <v>14.650999999999982</v>
      </c>
      <c r="D35" s="20">
        <v>100.369</v>
      </c>
      <c r="E35" s="20">
        <v>40.115000000000002</v>
      </c>
      <c r="F35" s="20">
        <v>-120.82</v>
      </c>
      <c r="G35" s="20">
        <f>51.401-H35-I35-J35</f>
        <v>22.928999999999995</v>
      </c>
      <c r="H35" s="20">
        <v>67.531000000000006</v>
      </c>
      <c r="I35" s="20">
        <v>40.328000000000003</v>
      </c>
      <c r="J35" s="20">
        <v>-79.387</v>
      </c>
      <c r="K35" s="20">
        <f>103.967-N35-M35-L35</f>
        <v>19.242999999999981</v>
      </c>
      <c r="L35" s="20">
        <v>97.584999999999994</v>
      </c>
      <c r="M35" s="20">
        <v>58.244999999999997</v>
      </c>
      <c r="N35" s="20">
        <v>-71.105999999999995</v>
      </c>
      <c r="O35" s="20">
        <v>-25.507999999999988</v>
      </c>
      <c r="P35" s="20">
        <v>80.938999999999993</v>
      </c>
      <c r="Q35" s="20">
        <v>2.4220000000000002</v>
      </c>
      <c r="R35" s="20">
        <v>-42.798000000000002</v>
      </c>
      <c r="S35" s="20">
        <v>-12</v>
      </c>
      <c r="T35" s="20">
        <v>-19.899999999999999</v>
      </c>
    </row>
    <row r="36" spans="1:20" s="11" customFormat="1" x14ac:dyDescent="0.2">
      <c r="A36" s="19" t="s">
        <v>16</v>
      </c>
      <c r="B36" s="21">
        <v>-7</v>
      </c>
      <c r="C36" s="21">
        <f>-55.139-1.069-D36-E36-F36</f>
        <v>-23.708000000000006</v>
      </c>
      <c r="D36" s="21">
        <v>-13.599999999999998</v>
      </c>
      <c r="E36" s="21">
        <v>-9.9</v>
      </c>
      <c r="F36" s="21">
        <v>-9</v>
      </c>
      <c r="G36" s="21">
        <f>-47.138-H36-I36-J36</f>
        <v>-18.038</v>
      </c>
      <c r="H36" s="21">
        <v>-9.9</v>
      </c>
      <c r="I36" s="21">
        <v>-12.2</v>
      </c>
      <c r="J36" s="21">
        <v>-7</v>
      </c>
      <c r="K36" s="21">
        <f>-100.471-N36-M36-L36</f>
        <v>-55.688000000000017</v>
      </c>
      <c r="L36" s="21">
        <v>-14.083</v>
      </c>
      <c r="M36" s="21">
        <v>-16.899999999999999</v>
      </c>
      <c r="N36" s="21">
        <v>-13.8</v>
      </c>
      <c r="O36" s="21">
        <v>-24.9</v>
      </c>
      <c r="P36" s="21">
        <v>-17.5</v>
      </c>
      <c r="Q36" s="21">
        <v>-14.4</v>
      </c>
      <c r="R36" s="21">
        <v>-9.0999999999999979</v>
      </c>
      <c r="S36" s="21">
        <v>-21.400000000000002</v>
      </c>
      <c r="T36" s="21">
        <v>-10.199999999999999</v>
      </c>
    </row>
    <row r="37" spans="1:20" s="20" customFormat="1" x14ac:dyDescent="0.2">
      <c r="A37" s="20" t="s">
        <v>15</v>
      </c>
      <c r="B37" s="20">
        <f t="shared" ref="B37:T37" si="11">+B35+B36</f>
        <v>-91.858000000000004</v>
      </c>
      <c r="C37" s="20">
        <f t="shared" si="11"/>
        <v>-9.0570000000000235</v>
      </c>
      <c r="D37" s="20">
        <f t="shared" si="11"/>
        <v>86.769000000000005</v>
      </c>
      <c r="E37" s="20">
        <f t="shared" si="11"/>
        <v>30.215000000000003</v>
      </c>
      <c r="F37" s="20">
        <f t="shared" si="11"/>
        <v>-129.82</v>
      </c>
      <c r="G37" s="20">
        <f t="shared" si="11"/>
        <v>4.8909999999999947</v>
      </c>
      <c r="H37" s="20">
        <f t="shared" si="11"/>
        <v>57.631000000000007</v>
      </c>
      <c r="I37" s="20">
        <f t="shared" si="11"/>
        <v>28.128000000000004</v>
      </c>
      <c r="J37" s="20">
        <f t="shared" si="11"/>
        <v>-86.387</v>
      </c>
      <c r="K37" s="20">
        <f t="shared" si="11"/>
        <v>-36.445000000000036</v>
      </c>
      <c r="L37" s="20">
        <f t="shared" si="11"/>
        <v>83.501999999999995</v>
      </c>
      <c r="M37" s="20">
        <f t="shared" si="11"/>
        <v>41.344999999999999</v>
      </c>
      <c r="N37" s="20">
        <f t="shared" si="11"/>
        <v>-84.905999999999992</v>
      </c>
      <c r="O37" s="20">
        <f t="shared" si="11"/>
        <v>-50.407999999999987</v>
      </c>
      <c r="P37" s="20">
        <f t="shared" si="11"/>
        <v>63.438999999999993</v>
      </c>
      <c r="Q37" s="20">
        <f t="shared" si="11"/>
        <v>-11.978</v>
      </c>
      <c r="R37" s="20">
        <f t="shared" si="11"/>
        <v>-51.897999999999996</v>
      </c>
      <c r="S37" s="20">
        <f t="shared" si="11"/>
        <v>-33.400000000000006</v>
      </c>
      <c r="T37" s="20">
        <f t="shared" si="11"/>
        <v>-30.099999999999998</v>
      </c>
    </row>
    <row r="39" spans="1:20" s="16" customFormat="1" x14ac:dyDescent="0.2">
      <c r="A39" s="18" t="s">
        <v>14</v>
      </c>
      <c r="B39" s="19">
        <v>197.232</v>
      </c>
      <c r="C39" s="19">
        <v>0</v>
      </c>
      <c r="D39" s="19">
        <v>0</v>
      </c>
      <c r="E39" s="19">
        <v>48.6</v>
      </c>
      <c r="F39" s="19">
        <v>70</v>
      </c>
      <c r="G39" s="19">
        <v>0</v>
      </c>
      <c r="H39" s="19">
        <v>0</v>
      </c>
      <c r="I39" s="19">
        <v>0</v>
      </c>
      <c r="J39" s="19">
        <v>63.3</v>
      </c>
      <c r="K39" s="19">
        <v>0</v>
      </c>
      <c r="L39" s="19">
        <v>0</v>
      </c>
      <c r="M39" s="19">
        <v>60</v>
      </c>
      <c r="N39" s="19">
        <v>185</v>
      </c>
      <c r="O39" s="19">
        <v>60</v>
      </c>
      <c r="P39" s="19"/>
      <c r="Q39" s="19"/>
      <c r="R39" s="19"/>
      <c r="S39" s="19"/>
      <c r="T39" s="19"/>
    </row>
    <row r="40" spans="1:20" s="16" customFormat="1" x14ac:dyDescent="0.2">
      <c r="A40" s="18" t="s">
        <v>13</v>
      </c>
      <c r="B40" s="19">
        <v>1102.5250000000001</v>
      </c>
      <c r="C40" s="19">
        <f>1102.987+0.233</f>
        <v>1103.22</v>
      </c>
      <c r="D40" s="19">
        <f>1103.45+0.249</f>
        <v>1103.6990000000001</v>
      </c>
      <c r="E40" s="19">
        <f>1103.9+0.2</f>
        <v>1104.1000000000001</v>
      </c>
      <c r="F40" s="19">
        <f>1104.4+0.3</f>
        <v>1104.7</v>
      </c>
      <c r="G40" s="19">
        <f>919.375+0.27</f>
        <v>919.64499999999998</v>
      </c>
      <c r="H40" s="19">
        <f>919.375+0.285</f>
        <v>919.66</v>
      </c>
      <c r="I40" s="19">
        <f>919.4+0.3</f>
        <v>919.69999999999993</v>
      </c>
      <c r="J40" s="19">
        <f>904.4+0.4</f>
        <v>904.8</v>
      </c>
      <c r="K40" s="19">
        <f>804.375+0.447</f>
        <v>804.822</v>
      </c>
      <c r="L40" s="19">
        <f>804.4+0.4</f>
        <v>804.8</v>
      </c>
      <c r="M40" s="19">
        <f>804.4+0.4</f>
        <v>804.8</v>
      </c>
      <c r="N40" s="19">
        <f>604.4+0.5</f>
        <v>604.9</v>
      </c>
      <c r="O40" s="19">
        <f>839.4+0.5</f>
        <v>839.9</v>
      </c>
      <c r="P40" s="19"/>
      <c r="Q40" s="19"/>
      <c r="R40" s="19"/>
      <c r="S40" s="19"/>
      <c r="T40" s="19"/>
    </row>
    <row r="41" spans="1:20" s="16" customFormat="1" x14ac:dyDescent="0.2">
      <c r="A41" s="18" t="s">
        <v>12</v>
      </c>
      <c r="B41" s="19">
        <f t="shared" ref="B41:G41" si="12">B39+B40+890</f>
        <v>2189.7570000000001</v>
      </c>
      <c r="C41" s="19">
        <f t="shared" si="12"/>
        <v>1993.22</v>
      </c>
      <c r="D41" s="19">
        <f t="shared" si="12"/>
        <v>1993.6990000000001</v>
      </c>
      <c r="E41" s="19">
        <f t="shared" si="12"/>
        <v>2042.7</v>
      </c>
      <c r="F41" s="19">
        <f t="shared" si="12"/>
        <v>2064.6999999999998</v>
      </c>
      <c r="G41" s="19">
        <f t="shared" si="12"/>
        <v>1809.645</v>
      </c>
      <c r="H41" s="19">
        <f t="shared" ref="H41:N41" si="13">H39+H40+890</f>
        <v>1809.6599999999999</v>
      </c>
      <c r="I41" s="19">
        <f t="shared" si="13"/>
        <v>1809.6999999999998</v>
      </c>
      <c r="J41" s="19">
        <f t="shared" si="13"/>
        <v>1858.1</v>
      </c>
      <c r="K41" s="19">
        <f t="shared" si="13"/>
        <v>1694.8220000000001</v>
      </c>
      <c r="L41" s="19">
        <f t="shared" si="13"/>
        <v>1694.8</v>
      </c>
      <c r="M41" s="19">
        <f t="shared" si="13"/>
        <v>1754.8</v>
      </c>
      <c r="N41" s="19">
        <f t="shared" si="13"/>
        <v>1679.9</v>
      </c>
      <c r="O41" s="19">
        <f>O39+O40+655</f>
        <v>1554.9</v>
      </c>
      <c r="P41" s="19"/>
      <c r="Q41" s="19"/>
      <c r="R41" s="19"/>
      <c r="S41" s="19"/>
      <c r="T41" s="19"/>
    </row>
    <row r="42" spans="1:20" s="16" customFormat="1" x14ac:dyDescent="0.2">
      <c r="A42" s="18" t="s">
        <v>11</v>
      </c>
      <c r="B42" s="17">
        <v>413</v>
      </c>
      <c r="C42" s="17">
        <v>413</v>
      </c>
      <c r="D42" s="17">
        <v>413</v>
      </c>
      <c r="E42" s="17">
        <v>413</v>
      </c>
      <c r="F42" s="17">
        <v>413</v>
      </c>
      <c r="G42" s="17">
        <v>413</v>
      </c>
      <c r="H42" s="17">
        <v>413</v>
      </c>
      <c r="I42" s="17">
        <v>413</v>
      </c>
      <c r="J42" s="17">
        <v>413</v>
      </c>
      <c r="K42" s="17">
        <v>413</v>
      </c>
      <c r="L42" s="17">
        <v>413</v>
      </c>
      <c r="M42" s="17">
        <v>413</v>
      </c>
      <c r="N42" s="17">
        <v>413</v>
      </c>
      <c r="O42" s="17">
        <v>413</v>
      </c>
      <c r="P42" s="17"/>
      <c r="Q42" s="17"/>
      <c r="R42" s="17"/>
      <c r="S42" s="17"/>
      <c r="T42" s="17"/>
    </row>
    <row r="43" spans="1:20" x14ac:dyDescent="0.2">
      <c r="B43" s="16"/>
      <c r="C43" s="16"/>
      <c r="D43" s="16"/>
      <c r="E43" s="16"/>
      <c r="F43" s="16"/>
      <c r="G43" s="16"/>
      <c r="H43" s="16"/>
      <c r="I43" s="16"/>
      <c r="J43" s="16"/>
      <c r="K43" s="16"/>
      <c r="L43" s="16"/>
      <c r="M43" s="16"/>
      <c r="N43" s="16"/>
      <c r="O43" s="16"/>
    </row>
    <row r="44" spans="1:20" x14ac:dyDescent="0.2">
      <c r="A44" s="15" t="s">
        <v>10</v>
      </c>
      <c r="B44" s="27">
        <v>166.17099999999999</v>
      </c>
      <c r="C44" s="27">
        <v>55.776000000000003</v>
      </c>
      <c r="D44" s="27">
        <v>63.098000000000006</v>
      </c>
      <c r="E44" s="27">
        <v>24.512</v>
      </c>
      <c r="F44" s="27">
        <v>17.382999999999999</v>
      </c>
      <c r="G44" s="27">
        <v>65.575000000000003</v>
      </c>
      <c r="H44" s="27">
        <v>63.874000000000002</v>
      </c>
      <c r="I44" s="27">
        <v>71.254999999999995</v>
      </c>
      <c r="J44" s="27">
        <v>46</v>
      </c>
      <c r="K44" s="27">
        <v>51.058999999999997</v>
      </c>
      <c r="L44" s="27">
        <v>61.52600000000001</v>
      </c>
      <c r="M44" s="27">
        <v>130.114</v>
      </c>
      <c r="N44" s="27">
        <v>24.606999999999999</v>
      </c>
      <c r="O44" s="27">
        <v>20.571999999999999</v>
      </c>
      <c r="P44" s="27">
        <v>26.256</v>
      </c>
      <c r="Q44" s="27">
        <v>27.251999999999999</v>
      </c>
      <c r="R44" s="27"/>
      <c r="S44" s="27"/>
      <c r="T44" s="27"/>
    </row>
    <row r="46" spans="1:20" x14ac:dyDescent="0.2">
      <c r="A46" s="1" t="s">
        <v>9</v>
      </c>
      <c r="B46" s="11">
        <f t="shared" ref="B46:Q46" si="14">SUM(B12:E12)</f>
        <v>1872.6000000000004</v>
      </c>
      <c r="C46" s="11">
        <f t="shared" si="14"/>
        <v>1848.8000000000002</v>
      </c>
      <c r="D46" s="11">
        <f t="shared" si="14"/>
        <v>1861.2</v>
      </c>
      <c r="E46" s="11">
        <f t="shared" si="14"/>
        <v>1848.3999999999999</v>
      </c>
      <c r="F46" s="11">
        <f t="shared" si="14"/>
        <v>1842.1</v>
      </c>
      <c r="G46" s="11">
        <f t="shared" si="14"/>
        <v>1808.6</v>
      </c>
      <c r="H46" s="11">
        <f t="shared" si="14"/>
        <v>1773.7000000000003</v>
      </c>
      <c r="I46" s="11">
        <f t="shared" si="14"/>
        <v>1739.7000000000003</v>
      </c>
      <c r="J46" s="11">
        <f t="shared" si="14"/>
        <v>1682.8</v>
      </c>
      <c r="K46" s="11">
        <f t="shared" si="14"/>
        <v>1663.9</v>
      </c>
      <c r="L46" s="11">
        <f t="shared" si="14"/>
        <v>1641.1</v>
      </c>
      <c r="M46" s="11">
        <f t="shared" si="14"/>
        <v>1599.6999999999998</v>
      </c>
      <c r="N46" s="11">
        <f t="shared" si="14"/>
        <v>1571.6999999999998</v>
      </c>
      <c r="O46" s="11">
        <f t="shared" si="14"/>
        <v>1474.2</v>
      </c>
      <c r="P46" s="11">
        <f t="shared" si="14"/>
        <v>1324.2</v>
      </c>
      <c r="Q46" s="11">
        <f t="shared" si="14"/>
        <v>1218.5999999999999</v>
      </c>
    </row>
    <row r="47" spans="1:20" x14ac:dyDescent="0.2">
      <c r="A47" s="1" t="s">
        <v>8</v>
      </c>
      <c r="B47" s="11">
        <f t="shared" ref="B47:C47" si="15">+B27</f>
        <v>305.89999999999998</v>
      </c>
      <c r="C47" s="11">
        <f t="shared" si="15"/>
        <v>279.8</v>
      </c>
      <c r="D47" s="11">
        <f t="shared" ref="D47:E47" si="16">+D27</f>
        <v>281.7</v>
      </c>
      <c r="E47" s="11">
        <f t="shared" si="16"/>
        <v>263.8</v>
      </c>
      <c r="F47" s="11">
        <f t="shared" ref="F47:G47" si="17">+F27</f>
        <v>258.5</v>
      </c>
      <c r="G47" s="11">
        <f t="shared" si="17"/>
        <v>235.7</v>
      </c>
      <c r="H47" s="11">
        <f t="shared" ref="H47:Q47" si="18">+H27</f>
        <v>240.4</v>
      </c>
      <c r="I47" s="11">
        <f t="shared" si="18"/>
        <v>228.60000000000002</v>
      </c>
      <c r="J47" s="11">
        <f t="shared" si="18"/>
        <v>226.3</v>
      </c>
      <c r="K47" s="11">
        <f t="shared" si="18"/>
        <v>225.80000000000007</v>
      </c>
      <c r="L47" s="11">
        <f t="shared" si="18"/>
        <v>225.90000000000003</v>
      </c>
      <c r="M47" s="11">
        <f t="shared" si="18"/>
        <v>242.9</v>
      </c>
      <c r="N47" s="11">
        <f t="shared" si="18"/>
        <v>232.90000000000006</v>
      </c>
      <c r="O47" s="11">
        <f t="shared" si="18"/>
        <v>240.10000000000002</v>
      </c>
      <c r="P47" s="11">
        <f t="shared" si="18"/>
        <v>226.5</v>
      </c>
      <c r="Q47" s="11">
        <f t="shared" si="18"/>
        <v>217.3</v>
      </c>
    </row>
    <row r="48" spans="1:20" x14ac:dyDescent="0.2">
      <c r="A48" s="1" t="s">
        <v>7</v>
      </c>
      <c r="B48" s="11">
        <f t="shared" ref="B48:Q48" si="19">+SUM(B37:E37)</f>
        <v>16.068999999999988</v>
      </c>
      <c r="C48" s="11">
        <f t="shared" si="19"/>
        <v>-21.893000000000001</v>
      </c>
      <c r="D48" s="11">
        <f t="shared" si="19"/>
        <v>-7.9449999999999896</v>
      </c>
      <c r="E48" s="11">
        <f t="shared" si="19"/>
        <v>-37.082999999999991</v>
      </c>
      <c r="F48" s="11">
        <f t="shared" si="19"/>
        <v>-39.17</v>
      </c>
      <c r="G48" s="11">
        <f t="shared" si="19"/>
        <v>4.2630000000000052</v>
      </c>
      <c r="H48" s="11">
        <f t="shared" si="19"/>
        <v>-37.073000000000022</v>
      </c>
      <c r="I48" s="11">
        <f t="shared" si="19"/>
        <v>-11.202000000000041</v>
      </c>
      <c r="J48" s="11">
        <f t="shared" si="19"/>
        <v>2.0149999999999579</v>
      </c>
      <c r="K48" s="11">
        <f t="shared" si="19"/>
        <v>3.4959999999999667</v>
      </c>
      <c r="L48" s="11">
        <f t="shared" si="19"/>
        <v>-10.466999999999985</v>
      </c>
      <c r="M48" s="11">
        <f t="shared" si="19"/>
        <v>-30.529999999999987</v>
      </c>
      <c r="N48" s="11">
        <f t="shared" si="19"/>
        <v>-83.852999999999966</v>
      </c>
      <c r="O48" s="11">
        <f t="shared" si="19"/>
        <v>-50.844999999999992</v>
      </c>
      <c r="P48" s="11">
        <f t="shared" si="19"/>
        <v>-33.83700000000001</v>
      </c>
      <c r="Q48" s="11">
        <f t="shared" si="19"/>
        <v>-127.376</v>
      </c>
    </row>
    <row r="50" spans="1:20" s="10" customFormat="1" x14ac:dyDescent="0.2">
      <c r="A50" s="10" t="s">
        <v>6</v>
      </c>
      <c r="B50" s="10">
        <f t="shared" ref="B50:C50" si="20">+SUM(B39:B40)/B47</f>
        <v>4.248960444589736</v>
      </c>
      <c r="C50" s="10">
        <f t="shared" si="20"/>
        <v>3.9428877769835595</v>
      </c>
      <c r="D50" s="10">
        <f t="shared" ref="D50:E50" si="21">+SUM(D39:D40)/D47</f>
        <v>3.9179943201987935</v>
      </c>
      <c r="E50" s="10">
        <f t="shared" si="21"/>
        <v>4.369598180439727</v>
      </c>
      <c r="F50" s="10">
        <f t="shared" ref="F50:G50" si="22">+SUM(F39:F40)/F47</f>
        <v>4.5442940038684725</v>
      </c>
      <c r="G50" s="10">
        <f t="shared" si="22"/>
        <v>3.901760712770471</v>
      </c>
      <c r="H50" s="10">
        <f t="shared" ref="H50:I50" si="23">+SUM(H39:H40)/H47</f>
        <v>3.8255407653910147</v>
      </c>
      <c r="I50" s="10">
        <f t="shared" si="23"/>
        <v>4.0231846019247586</v>
      </c>
      <c r="J50" s="10">
        <f t="shared" ref="J50:O50" si="24">+SUM(J39:J40)/J47</f>
        <v>4.2779496243923987</v>
      </c>
      <c r="K50" s="10">
        <f t="shared" si="24"/>
        <v>3.5643135518157649</v>
      </c>
      <c r="L50" s="10">
        <f t="shared" si="24"/>
        <v>3.5626383355467013</v>
      </c>
      <c r="M50" s="10">
        <f t="shared" si="24"/>
        <v>3.5603128859613005</v>
      </c>
      <c r="N50" s="10">
        <f t="shared" si="24"/>
        <v>3.391584370974666</v>
      </c>
      <c r="O50" s="10">
        <f t="shared" si="24"/>
        <v>3.7480216576426484</v>
      </c>
    </row>
    <row r="51" spans="1:20" s="10" customFormat="1" x14ac:dyDescent="0.2">
      <c r="A51" s="10" t="s">
        <v>5</v>
      </c>
      <c r="B51" s="10">
        <f t="shared" ref="B51:C51" si="25">+B41/B47</f>
        <v>7.1584079764628967</v>
      </c>
      <c r="C51" s="10">
        <f t="shared" si="25"/>
        <v>7.1237312365975693</v>
      </c>
      <c r="D51" s="10">
        <f t="shared" ref="D51:E51" si="26">+D41/D47</f>
        <v>7.0773837415690455</v>
      </c>
      <c r="E51" s="10">
        <f t="shared" si="26"/>
        <v>7.7433661865049279</v>
      </c>
      <c r="F51" s="10">
        <f t="shared" ref="F51:G51" si="27">+F41/F47</f>
        <v>7.9872340425531911</v>
      </c>
      <c r="G51" s="10">
        <f t="shared" si="27"/>
        <v>7.6777471361900727</v>
      </c>
      <c r="H51" s="10">
        <f t="shared" ref="H51:O51" si="28">+H41/H47</f>
        <v>7.527703826955074</v>
      </c>
      <c r="I51" s="10">
        <f t="shared" si="28"/>
        <v>7.9164479440069977</v>
      </c>
      <c r="J51" s="10">
        <f t="shared" si="28"/>
        <v>8.2107821475916918</v>
      </c>
      <c r="K51" s="10">
        <f t="shared" si="28"/>
        <v>7.5058547387068186</v>
      </c>
      <c r="L51" s="10">
        <f t="shared" si="28"/>
        <v>7.5024347056219556</v>
      </c>
      <c r="M51" s="10">
        <f t="shared" si="28"/>
        <v>7.2243721696171264</v>
      </c>
      <c r="N51" s="10">
        <f t="shared" si="28"/>
        <v>7.212966938600256</v>
      </c>
      <c r="O51" s="10">
        <f t="shared" si="28"/>
        <v>6.4760516451478551</v>
      </c>
    </row>
    <row r="52" spans="1:20" s="10" customFormat="1" x14ac:dyDescent="0.2">
      <c r="A52" s="10" t="s">
        <v>4</v>
      </c>
      <c r="B52" s="10">
        <f t="shared" ref="B52:C52" si="29">+(B41-B44)/B47</f>
        <v>6.6151879699248122</v>
      </c>
      <c r="C52" s="10">
        <f t="shared" si="29"/>
        <v>6.9243888491779835</v>
      </c>
      <c r="D52" s="10">
        <f t="shared" ref="D52:E52" si="30">+(D41-D44)/D47</f>
        <v>6.8533936812211582</v>
      </c>
      <c r="E52" s="10">
        <f t="shared" si="30"/>
        <v>7.6504473085670961</v>
      </c>
      <c r="F52" s="10">
        <f t="shared" ref="F52:G52" si="31">+(F41-F44)/F47</f>
        <v>7.9199883945841387</v>
      </c>
      <c r="G52" s="10">
        <f t="shared" si="31"/>
        <v>7.3995333050487906</v>
      </c>
      <c r="H52" s="10">
        <f t="shared" ref="H52:O52" si="32">+(H41-H44)/H47</f>
        <v>7.2620049916805316</v>
      </c>
      <c r="I52" s="10">
        <f t="shared" si="32"/>
        <v>7.6047462817147835</v>
      </c>
      <c r="J52" s="10">
        <f t="shared" si="32"/>
        <v>8.0075121520106052</v>
      </c>
      <c r="K52" s="10">
        <f t="shared" si="32"/>
        <v>7.2797298494242675</v>
      </c>
      <c r="L52" s="10">
        <f t="shared" si="32"/>
        <v>7.2300752545374047</v>
      </c>
      <c r="M52" s="10">
        <f t="shared" si="32"/>
        <v>6.688703170028818</v>
      </c>
      <c r="N52" s="10">
        <f t="shared" si="32"/>
        <v>7.1073121511378261</v>
      </c>
      <c r="O52" s="10">
        <f t="shared" si="32"/>
        <v>6.3903706788837988</v>
      </c>
    </row>
    <row r="53" spans="1:20" s="6" customFormat="1" x14ac:dyDescent="0.2">
      <c r="A53" s="6" t="s">
        <v>3</v>
      </c>
      <c r="B53" s="6">
        <f t="shared" ref="B53:C53" si="33">+B48/B41</f>
        <v>7.3382571673477866E-3</v>
      </c>
      <c r="C53" s="6">
        <f t="shared" si="33"/>
        <v>-1.0983734861179399E-2</v>
      </c>
      <c r="D53" s="6">
        <f t="shared" ref="D53:E53" si="34">+D48/D41</f>
        <v>-3.9850549155113135E-3</v>
      </c>
      <c r="E53" s="6">
        <f t="shared" si="34"/>
        <v>-1.8153913937435741E-2</v>
      </c>
      <c r="F53" s="6">
        <f t="shared" ref="F53:G53" si="35">+F48/F41</f>
        <v>-1.8971279120453335E-2</v>
      </c>
      <c r="G53" s="6">
        <f t="shared" si="35"/>
        <v>2.3557106504314409E-3</v>
      </c>
      <c r="H53" s="6">
        <f t="shared" ref="H53:O53" si="36">+H48/H41</f>
        <v>-2.048616867256834E-2</v>
      </c>
      <c r="I53" s="6">
        <f t="shared" si="36"/>
        <v>-6.1899762391556847E-3</v>
      </c>
      <c r="J53" s="6">
        <f t="shared" si="36"/>
        <v>1.0844410957429407E-3</v>
      </c>
      <c r="K53" s="6">
        <f t="shared" si="36"/>
        <v>2.0627534926971483E-3</v>
      </c>
      <c r="L53" s="6">
        <f t="shared" si="36"/>
        <v>-6.1759499645975833E-3</v>
      </c>
      <c r="M53" s="6">
        <f t="shared" si="36"/>
        <v>-1.7397994073398673E-2</v>
      </c>
      <c r="N53" s="6">
        <f t="shared" si="36"/>
        <v>-4.9915471158997533E-2</v>
      </c>
      <c r="O53" s="6">
        <f t="shared" si="36"/>
        <v>-3.2699852080519641E-2</v>
      </c>
    </row>
    <row r="54" spans="1:20" s="6" customFormat="1" x14ac:dyDescent="0.2">
      <c r="A54" s="8" t="s">
        <v>2</v>
      </c>
      <c r="B54" s="9"/>
      <c r="C54" s="9"/>
      <c r="D54" s="9"/>
      <c r="E54" s="9"/>
      <c r="F54" s="9"/>
      <c r="G54" s="9"/>
      <c r="H54" s="9"/>
      <c r="I54" s="9"/>
      <c r="J54" s="9"/>
      <c r="K54" s="9"/>
      <c r="L54" s="9"/>
      <c r="M54" s="9"/>
      <c r="N54" s="9"/>
      <c r="O54" s="9"/>
      <c r="P54" s="9"/>
      <c r="Q54" s="9"/>
      <c r="R54" s="8"/>
      <c r="S54" s="8"/>
      <c r="T54" s="8"/>
    </row>
    <row r="55" spans="1:20" s="6" customFormat="1" x14ac:dyDescent="0.2">
      <c r="A55" s="6" t="s">
        <v>1</v>
      </c>
      <c r="B55" s="7">
        <f t="shared" ref="B55:C55" si="37">IF(B42=0,IF(B54="","","*"&amp;TEXT(B54,"0.0x")),(B41+B42-B44)/B47)</f>
        <v>7.9653023864007864</v>
      </c>
      <c r="C55" s="7">
        <f t="shared" si="37"/>
        <v>8.4004431736954981</v>
      </c>
      <c r="D55" s="7">
        <f t="shared" ref="D55:E55" si="38">IF(D42=0,IF(D54="","","*"&amp;TEXT(D54,"0.0x")),(D41+D42-D44)/D47)</f>
        <v>8.3194923677671291</v>
      </c>
      <c r="E55" s="7">
        <f t="shared" si="38"/>
        <v>9.2160272934040925</v>
      </c>
      <c r="F55" s="7">
        <f t="shared" ref="F55:G55" si="39">IF(F42=0,IF(F54="","","*"&amp;TEXT(F54,"0.0x")),(F41+F42-F44)/F47)</f>
        <v>9.5176673114119925</v>
      </c>
      <c r="G55" s="7">
        <f t="shared" si="39"/>
        <v>9.1517607127704714</v>
      </c>
      <c r="H55" s="7">
        <f t="shared" ref="H55:Q55" si="40">IF(H42=0,IF(H54="","","*"&amp;TEXT(H54,"0.0x")),(H41+H42-H44)/H47)</f>
        <v>8.9799750415973385</v>
      </c>
      <c r="I55" s="7">
        <f t="shared" si="40"/>
        <v>9.4113954505686763</v>
      </c>
      <c r="J55" s="7">
        <f t="shared" si="40"/>
        <v>9.8325231992929734</v>
      </c>
      <c r="K55" s="7">
        <f t="shared" si="40"/>
        <v>9.1087821080602271</v>
      </c>
      <c r="L55" s="7">
        <f t="shared" si="40"/>
        <v>9.0583178397521014</v>
      </c>
      <c r="M55" s="7">
        <f t="shared" si="40"/>
        <v>8.3889913544668584</v>
      </c>
      <c r="N55" s="7">
        <f t="shared" si="40"/>
        <v>8.8806054100472291</v>
      </c>
      <c r="O55" s="7">
        <f t="shared" si="40"/>
        <v>8.1104872969596009</v>
      </c>
      <c r="P55" s="7" t="str">
        <f t="shared" si="40"/>
        <v/>
      </c>
      <c r="Q55" s="7" t="str">
        <f t="shared" si="40"/>
        <v/>
      </c>
      <c r="R55" s="7" t="str">
        <f>IF(R42=0,IF(R54="","",CONCATENATE("* ",R54,"x")),(R41+R42-R44)/R47)</f>
        <v/>
      </c>
      <c r="S55" s="7" t="str">
        <f>IF(S42=0,IF(S54="","",CONCATENATE("* ",S54,"x")),(S41+S42-S44)/S47)</f>
        <v/>
      </c>
      <c r="T55" s="7" t="str">
        <f>IF(T42=0,IF(T54="","",CONCATENATE("* ",T54,"x")),(T41+T42-T44)/T47)</f>
        <v/>
      </c>
    </row>
    <row r="56" spans="1:20" x14ac:dyDescent="0.2">
      <c r="Q56" s="3"/>
    </row>
    <row r="57" spans="1:20" ht="80.25" customHeight="1" x14ac:dyDescent="0.2">
      <c r="A57" s="5" t="s">
        <v>0</v>
      </c>
      <c r="B57" s="4" t="s">
        <v>104</v>
      </c>
      <c r="C57" s="4" t="s">
        <v>235</v>
      </c>
      <c r="D57" s="4" t="s">
        <v>104</v>
      </c>
      <c r="E57" s="4" t="s">
        <v>104</v>
      </c>
      <c r="F57" s="4" t="s">
        <v>104</v>
      </c>
      <c r="G57" s="4" t="s">
        <v>104</v>
      </c>
      <c r="H57" s="4" t="s">
        <v>104</v>
      </c>
      <c r="I57" s="4" t="s">
        <v>104</v>
      </c>
      <c r="J57" s="4" t="s">
        <v>237</v>
      </c>
      <c r="K57" s="4" t="s">
        <v>104</v>
      </c>
      <c r="L57" s="4" t="s">
        <v>104</v>
      </c>
      <c r="M57" s="4" t="s">
        <v>104</v>
      </c>
      <c r="N57" s="4"/>
      <c r="O57" s="4"/>
      <c r="P57" s="4"/>
      <c r="Q57" s="4"/>
      <c r="R57" s="4"/>
      <c r="S57" s="4"/>
      <c r="T57" s="4"/>
    </row>
    <row r="58" spans="1:20" x14ac:dyDescent="0.2">
      <c r="A58" s="2"/>
      <c r="B58" s="3"/>
      <c r="C58" s="3"/>
      <c r="D58" s="3"/>
      <c r="E58" s="3"/>
      <c r="F58" s="3"/>
      <c r="G58" s="3"/>
      <c r="H58" s="3"/>
      <c r="I58" s="3"/>
      <c r="J58" s="3"/>
      <c r="K58" s="3"/>
      <c r="L58" s="3"/>
      <c r="M58" s="3"/>
    </row>
    <row r="59" spans="1:20" x14ac:dyDescent="0.2">
      <c r="A59" s="2"/>
    </row>
  </sheetData>
  <pageMargins left="0.7" right="0.7" top="0.75" bottom="0.75" header="0.3" footer="0.3"/>
  <pageSetup orientation="portrait" r:id="rId1"/>
  <ignoredErrors>
    <ignoredError sqref="D46:J47 C46" formulaRange="1"/>
  </ignoredError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W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2" width="10.7109375" style="1" customWidth="1"/>
    <col min="23" max="16384" width="9.140625" style="1"/>
  </cols>
  <sheetData>
    <row r="2" spans="1:22" x14ac:dyDescent="0.2">
      <c r="A2" s="34" t="s">
        <v>45</v>
      </c>
      <c r="B2" s="1" t="s">
        <v>181</v>
      </c>
    </row>
    <row r="3" spans="1:22" s="35" customFormat="1" x14ac:dyDescent="0.2">
      <c r="A3" s="36" t="s">
        <v>43</v>
      </c>
      <c r="B3" s="35" t="s">
        <v>180</v>
      </c>
    </row>
    <row r="4" spans="1:22" x14ac:dyDescent="0.2">
      <c r="A4" s="34" t="s">
        <v>41</v>
      </c>
      <c r="B4" s="1" t="s">
        <v>40</v>
      </c>
    </row>
    <row r="5" spans="1:22" x14ac:dyDescent="0.2">
      <c r="A5" s="34" t="s">
        <v>39</v>
      </c>
    </row>
    <row r="6" spans="1:22" x14ac:dyDescent="0.2">
      <c r="A6" s="34" t="s">
        <v>38</v>
      </c>
      <c r="B6" s="1">
        <v>3</v>
      </c>
    </row>
    <row r="7" spans="1:22" x14ac:dyDescent="0.2">
      <c r="A7" s="34" t="s">
        <v>37</v>
      </c>
      <c r="B7" s="1" t="s">
        <v>179</v>
      </c>
    </row>
    <row r="8" spans="1:22" x14ac:dyDescent="0.2">
      <c r="A8" s="34" t="s">
        <v>281</v>
      </c>
      <c r="B8" s="1" t="s">
        <v>308</v>
      </c>
    </row>
    <row r="9" spans="1:22" x14ac:dyDescent="0.2">
      <c r="A9" s="22"/>
    </row>
    <row r="10" spans="1:22" x14ac:dyDescent="0.2">
      <c r="A10" s="22" t="s">
        <v>36</v>
      </c>
      <c r="B10" s="33">
        <v>44104</v>
      </c>
      <c r="C10" s="33">
        <v>44012</v>
      </c>
      <c r="D10" s="33">
        <v>43921</v>
      </c>
      <c r="E10" s="33">
        <v>43830</v>
      </c>
      <c r="F10" s="33">
        <v>43738</v>
      </c>
      <c r="G10" s="33">
        <v>43646</v>
      </c>
      <c r="H10" s="33">
        <v>43555</v>
      </c>
      <c r="I10" s="33">
        <v>43465</v>
      </c>
      <c r="J10" s="33">
        <v>43373</v>
      </c>
      <c r="K10" s="33">
        <v>43281</v>
      </c>
      <c r="L10" s="33">
        <v>43190</v>
      </c>
      <c r="M10" s="33">
        <v>43100</v>
      </c>
      <c r="N10" s="33">
        <v>43008</v>
      </c>
      <c r="O10" s="33">
        <v>42916</v>
      </c>
      <c r="P10" s="33">
        <v>42825</v>
      </c>
      <c r="Q10" s="33">
        <v>42735</v>
      </c>
      <c r="R10" s="33">
        <v>42643</v>
      </c>
      <c r="S10" s="33">
        <v>42551</v>
      </c>
      <c r="T10" s="33">
        <v>42460</v>
      </c>
      <c r="U10" s="33">
        <v>42369</v>
      </c>
      <c r="V10" s="33">
        <v>42277</v>
      </c>
    </row>
    <row r="12" spans="1:22" x14ac:dyDescent="0.2">
      <c r="A12" s="15" t="s">
        <v>35</v>
      </c>
      <c r="B12" s="19">
        <v>231.071</v>
      </c>
      <c r="C12" s="19">
        <v>80.584999999999994</v>
      </c>
      <c r="D12" s="19">
        <v>408.29500000000002</v>
      </c>
      <c r="E12" s="19">
        <f>1900.371-F12-G12-H12</f>
        <v>465.89200000000005</v>
      </c>
      <c r="F12" s="19">
        <v>498.34399999999999</v>
      </c>
      <c r="G12" s="19">
        <v>481.36099999999999</v>
      </c>
      <c r="H12" s="19">
        <v>454.774</v>
      </c>
      <c r="I12" s="19">
        <f>1750.459-J12-K12-L12</f>
        <v>430.32199999999995</v>
      </c>
      <c r="J12" s="19">
        <v>463.11200000000002</v>
      </c>
      <c r="K12" s="19">
        <v>443.51799999999997</v>
      </c>
      <c r="L12" s="19">
        <v>413.50700000000001</v>
      </c>
      <c r="M12" s="19">
        <f>1593.209-N12-O12-P12</f>
        <v>392.52099999999996</v>
      </c>
      <c r="N12" s="19">
        <v>422.48899999999998</v>
      </c>
      <c r="O12" s="19">
        <v>400.90199999999999</v>
      </c>
      <c r="P12" s="19">
        <v>377.29700000000003</v>
      </c>
      <c r="Q12" s="19">
        <f>1475.311-T12-S12-R12</f>
        <v>362.3889999999999</v>
      </c>
      <c r="R12" s="19">
        <v>388.14599999999996</v>
      </c>
      <c r="S12" s="19">
        <v>373.70200000000006</v>
      </c>
      <c r="T12" s="19">
        <v>351.07400000000001</v>
      </c>
      <c r="U12" s="19">
        <v>314.26299999999986</v>
      </c>
      <c r="V12" s="19">
        <v>361.59700000000004</v>
      </c>
    </row>
    <row r="13" spans="1:22" s="28" customFormat="1" x14ac:dyDescent="0.2">
      <c r="A13" s="28" t="s">
        <v>34</v>
      </c>
      <c r="B13" s="28">
        <f t="shared" ref="B13:R13" si="0">+B12/F12-1</f>
        <v>-0.53632229945579768</v>
      </c>
      <c r="C13" s="28">
        <f t="shared" si="0"/>
        <v>-0.83258926252853893</v>
      </c>
      <c r="D13" s="28">
        <f t="shared" si="0"/>
        <v>-0.10220241262693119</v>
      </c>
      <c r="E13" s="28">
        <f t="shared" si="0"/>
        <v>8.2659032073656658E-2</v>
      </c>
      <c r="F13" s="28">
        <f t="shared" si="0"/>
        <v>7.6076629411459873E-2</v>
      </c>
      <c r="G13" s="28">
        <f t="shared" si="0"/>
        <v>8.5324609147768626E-2</v>
      </c>
      <c r="H13" s="28">
        <f t="shared" si="0"/>
        <v>9.9797585046927928E-2</v>
      </c>
      <c r="I13" s="28">
        <f t="shared" si="0"/>
        <v>9.6303127730745564E-2</v>
      </c>
      <c r="J13" s="28">
        <f t="shared" si="0"/>
        <v>9.6151615781712829E-2</v>
      </c>
      <c r="K13" s="28">
        <f t="shared" si="0"/>
        <v>0.10630029283964659</v>
      </c>
      <c r="L13" s="28">
        <f t="shared" si="0"/>
        <v>9.5972138659994544E-2</v>
      </c>
      <c r="M13" s="28">
        <f t="shared" si="0"/>
        <v>8.3148219178838412E-2</v>
      </c>
      <c r="N13" s="28">
        <f t="shared" si="0"/>
        <v>8.84795927305706E-2</v>
      </c>
      <c r="O13" s="28">
        <f t="shared" si="0"/>
        <v>7.2785267405579557E-2</v>
      </c>
      <c r="P13" s="28">
        <f t="shared" si="0"/>
        <v>7.4693654329286652E-2</v>
      </c>
      <c r="Q13" s="28">
        <f t="shared" si="0"/>
        <v>0.15313924960940373</v>
      </c>
      <c r="R13" s="28">
        <f t="shared" si="0"/>
        <v>7.3421516218331151E-2</v>
      </c>
    </row>
    <row r="14" spans="1:22"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1"/>
      <c r="T14" s="31"/>
      <c r="U14" s="31"/>
      <c r="V14" s="31"/>
    </row>
    <row r="16" spans="1:22" s="22" customFormat="1" x14ac:dyDescent="0.2">
      <c r="A16" s="30" t="s">
        <v>31</v>
      </c>
      <c r="B16" s="29">
        <f>-30.331+2.052+7.368</f>
        <v>-20.911000000000001</v>
      </c>
      <c r="C16" s="29">
        <f>-110.092+4.022+18.504</f>
        <v>-87.565999999999988</v>
      </c>
      <c r="D16" s="29">
        <f>45.903+6.178</f>
        <v>52.080999999999996</v>
      </c>
      <c r="E16" s="29">
        <f>389.913-0.033+24.152+22.161-F16-G16-H16</f>
        <v>102.05799999999998</v>
      </c>
      <c r="F16" s="29">
        <f>91.52+5.922+23.024</f>
        <v>120.46599999999999</v>
      </c>
      <c r="G16" s="29">
        <f>102.519+0.279+5.26</f>
        <v>108.05800000000001</v>
      </c>
      <c r="H16" s="29">
        <f>100.736+4.875</f>
        <v>105.611</v>
      </c>
      <c r="I16" s="29">
        <f>409.905-0.075+0.1+12.98-J16-K16-L16</f>
        <v>108.50800000000002</v>
      </c>
      <c r="J16" s="29">
        <f>105.138+0+3.307</f>
        <v>108.44500000000001</v>
      </c>
      <c r="K16" s="29">
        <f>106.003+0.063+3.03</f>
        <v>109.096</v>
      </c>
      <c r="L16" s="29">
        <f>93.771+3.09</f>
        <v>96.861000000000004</v>
      </c>
      <c r="M16" s="29">
        <f>340.272+31.57+11.598-N16-O16-P16</f>
        <v>83.781999999999996</v>
      </c>
      <c r="N16" s="29">
        <f>104.692+1.5+3.111</f>
        <v>109.303</v>
      </c>
      <c r="O16" s="29">
        <f>96.167+1.647+2.776</f>
        <v>100.59</v>
      </c>
      <c r="P16" s="29">
        <f>85.027+2.124+2.614</f>
        <v>89.765000000000001</v>
      </c>
      <c r="Q16" s="29">
        <f>347.545+5.609+10.986-T16-S16-R16</f>
        <v>88.69099999999996</v>
      </c>
      <c r="R16" s="29">
        <f>98.453+0.94+3.182</f>
        <v>102.575</v>
      </c>
      <c r="S16" s="29">
        <f>86.614+2.325+2.359</f>
        <v>91.298000000000002</v>
      </c>
      <c r="T16" s="29">
        <f>78.296+0.593+2.687</f>
        <v>81.576000000000008</v>
      </c>
      <c r="U16" s="29">
        <f>209.711+5.801+7.486-(141.005+5.199+4.587)</f>
        <v>72.206999999999994</v>
      </c>
      <c r="V16" s="29">
        <f>92.159+2.844</f>
        <v>95.003</v>
      </c>
    </row>
    <row r="17" spans="1:22" s="28" customFormat="1" x14ac:dyDescent="0.2">
      <c r="A17" s="28" t="s">
        <v>30</v>
      </c>
      <c r="B17" s="28">
        <f t="shared" ref="B17" si="1">+B16/B12</f>
        <v>-9.0495994737548199E-2</v>
      </c>
      <c r="C17" s="28">
        <f t="shared" ref="C17:E17" si="2">+C16/C12</f>
        <v>-1.0866290252528386</v>
      </c>
      <c r="D17" s="28">
        <f t="shared" si="2"/>
        <v>0.12755728088759352</v>
      </c>
      <c r="E17" s="28">
        <f t="shared" si="2"/>
        <v>0.21905935281138111</v>
      </c>
      <c r="F17" s="28">
        <f t="shared" ref="F17:G17" si="3">+F16/F12</f>
        <v>0.24173261843224758</v>
      </c>
      <c r="G17" s="28">
        <f t="shared" si="3"/>
        <v>0.22448432673191224</v>
      </c>
      <c r="H17" s="28">
        <f t="shared" ref="H17:V17" si="4">+H16/H12</f>
        <v>0.2322274360451565</v>
      </c>
      <c r="I17" s="28">
        <f t="shared" si="4"/>
        <v>0.25215536272837558</v>
      </c>
      <c r="J17" s="28">
        <f t="shared" si="4"/>
        <v>0.23416581734008188</v>
      </c>
      <c r="K17" s="28">
        <f t="shared" si="4"/>
        <v>0.24597874268913553</v>
      </c>
      <c r="L17" s="28">
        <f t="shared" si="4"/>
        <v>0.23424270931326435</v>
      </c>
      <c r="M17" s="28">
        <f t="shared" si="4"/>
        <v>0.21344590480509323</v>
      </c>
      <c r="N17" s="28">
        <f t="shared" si="4"/>
        <v>0.25871206114242029</v>
      </c>
      <c r="O17" s="28">
        <f t="shared" si="4"/>
        <v>0.2509091997545535</v>
      </c>
      <c r="P17" s="28">
        <f t="shared" si="4"/>
        <v>0.23791601841520074</v>
      </c>
      <c r="Q17" s="28">
        <f t="shared" si="4"/>
        <v>0.24473976859120997</v>
      </c>
      <c r="R17" s="28">
        <f t="shared" si="4"/>
        <v>0.2642691152298362</v>
      </c>
      <c r="S17" s="28">
        <f t="shared" si="4"/>
        <v>0.24430696116156719</v>
      </c>
      <c r="T17" s="28">
        <f t="shared" si="4"/>
        <v>0.23236126856446221</v>
      </c>
      <c r="U17" s="28">
        <f t="shared" si="4"/>
        <v>0.22976615128093356</v>
      </c>
      <c r="V17" s="28">
        <f t="shared" si="4"/>
        <v>0.26273171514144195</v>
      </c>
    </row>
    <row r="18" spans="1:22" s="23" customFormat="1" x14ac:dyDescent="0.2"/>
    <row r="19" spans="1:22"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0.28799999999999998</v>
      </c>
      <c r="S19" s="19">
        <v>0</v>
      </c>
      <c r="T19" s="19">
        <v>0</v>
      </c>
      <c r="U19" s="19">
        <f>112.174-(109.309)</f>
        <v>2.8650000000000091</v>
      </c>
      <c r="V19" s="19">
        <v>1.3640000000000001</v>
      </c>
    </row>
    <row r="20" spans="1:22"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row>
    <row r="21" spans="1:22" s="23" customFormat="1" x14ac:dyDescent="0.2">
      <c r="A21" s="15" t="s">
        <v>18</v>
      </c>
      <c r="B21" s="19">
        <f>0.721+16.963</f>
        <v>17.684000000000001</v>
      </c>
      <c r="C21" s="19">
        <f>11.544+1.038</f>
        <v>12.582000000000001</v>
      </c>
      <c r="D21" s="19">
        <f>3.449+17.752</f>
        <v>21.201000000000001</v>
      </c>
      <c r="E21" s="19">
        <f>14.282+24.262-F21-G21-H21</f>
        <v>15.725999999999999</v>
      </c>
      <c r="F21" s="19">
        <f>5.046+4.989</f>
        <v>10.035</v>
      </c>
      <c r="G21" s="19">
        <f>2.358+8.507</f>
        <v>10.865</v>
      </c>
      <c r="H21" s="19">
        <f>1.866+0.052</f>
        <v>1.9180000000000001</v>
      </c>
      <c r="I21" s="19">
        <f>17.509+12.305-J21-K21-L21</f>
        <v>3.7220000000000004</v>
      </c>
      <c r="J21" s="19">
        <f>4.999+10.299</f>
        <v>15.297999999999998</v>
      </c>
      <c r="K21" s="19">
        <f>4.158+0.404</f>
        <v>4.5620000000000003</v>
      </c>
      <c r="L21" s="19">
        <f>5.029+1.203</f>
        <v>6.2320000000000002</v>
      </c>
      <c r="M21" s="19">
        <f>14.103+11.164-N21-O21-P21</f>
        <v>13.657</v>
      </c>
      <c r="N21" s="19">
        <f>3.145+0.831</f>
        <v>3.976</v>
      </c>
      <c r="O21" s="19">
        <f>2.842+0.803</f>
        <v>3.645</v>
      </c>
      <c r="P21" s="19">
        <f>3.444+0.545</f>
        <v>3.9889999999999999</v>
      </c>
      <c r="Q21" s="19">
        <f>6.208+16.119-T21-S21-R21</f>
        <v>7.5709999999999971</v>
      </c>
      <c r="R21" s="19">
        <f>1.715+3.075</f>
        <v>4.79</v>
      </c>
      <c r="S21" s="19">
        <f>1.202+5.755</f>
        <v>6.9569999999999999</v>
      </c>
      <c r="T21" s="19">
        <f>0.647+2.362</f>
        <v>3.0090000000000003</v>
      </c>
      <c r="U21" s="19">
        <f>7.85+37.749-(6.921+26.907)</f>
        <v>11.771000000000001</v>
      </c>
      <c r="V21" s="19">
        <v>1.603</v>
      </c>
    </row>
    <row r="22" spans="1:22" s="22" customFormat="1" x14ac:dyDescent="0.2">
      <c r="A22" s="22" t="s">
        <v>23</v>
      </c>
      <c r="B22" s="20">
        <f t="shared" ref="B22:V22" si="5">SUM(B16,B19:B21)</f>
        <v>-3.2270000000000003</v>
      </c>
      <c r="C22" s="20">
        <f t="shared" si="5"/>
        <v>-74.98399999999998</v>
      </c>
      <c r="D22" s="20">
        <f t="shared" si="5"/>
        <v>73.281999999999996</v>
      </c>
      <c r="E22" s="20">
        <f t="shared" si="5"/>
        <v>117.78399999999998</v>
      </c>
      <c r="F22" s="20">
        <f t="shared" si="5"/>
        <v>130.501</v>
      </c>
      <c r="G22" s="20">
        <f t="shared" si="5"/>
        <v>118.923</v>
      </c>
      <c r="H22" s="20">
        <f t="shared" si="5"/>
        <v>107.52900000000001</v>
      </c>
      <c r="I22" s="20">
        <f t="shared" si="5"/>
        <v>112.23000000000002</v>
      </c>
      <c r="J22" s="20">
        <f t="shared" si="5"/>
        <v>123.74300000000001</v>
      </c>
      <c r="K22" s="20">
        <f t="shared" si="5"/>
        <v>113.658</v>
      </c>
      <c r="L22" s="20">
        <f t="shared" si="5"/>
        <v>103.093</v>
      </c>
      <c r="M22" s="20">
        <f t="shared" si="5"/>
        <v>97.438999999999993</v>
      </c>
      <c r="N22" s="20">
        <f t="shared" si="5"/>
        <v>113.279</v>
      </c>
      <c r="O22" s="20">
        <f t="shared" si="5"/>
        <v>104.235</v>
      </c>
      <c r="P22" s="20">
        <f t="shared" si="5"/>
        <v>93.754000000000005</v>
      </c>
      <c r="Q22" s="20">
        <f t="shared" si="5"/>
        <v>96.261999999999958</v>
      </c>
      <c r="R22" s="20">
        <f t="shared" si="5"/>
        <v>107.65300000000001</v>
      </c>
      <c r="S22" s="20">
        <f t="shared" si="5"/>
        <v>98.254999999999995</v>
      </c>
      <c r="T22" s="20">
        <f t="shared" si="5"/>
        <v>84.585000000000008</v>
      </c>
      <c r="U22" s="20">
        <f t="shared" si="5"/>
        <v>86.843000000000004</v>
      </c>
      <c r="V22" s="20">
        <f t="shared" si="5"/>
        <v>97.97</v>
      </c>
    </row>
    <row r="23" spans="1:22" s="22" customFormat="1" x14ac:dyDescent="0.2">
      <c r="B23" s="28"/>
      <c r="C23" s="28"/>
      <c r="D23" s="28"/>
      <c r="E23" s="28"/>
      <c r="F23" s="28"/>
      <c r="G23" s="28"/>
      <c r="H23" s="28"/>
      <c r="I23" s="20"/>
      <c r="J23" s="20"/>
      <c r="K23" s="20"/>
      <c r="L23" s="20"/>
      <c r="M23" s="20"/>
      <c r="N23" s="20"/>
      <c r="O23" s="20"/>
      <c r="P23" s="20"/>
      <c r="Q23" s="20"/>
      <c r="R23" s="20"/>
      <c r="S23" s="20"/>
      <c r="T23" s="20"/>
      <c r="U23" s="20"/>
      <c r="V23" s="20"/>
    </row>
    <row r="24" spans="1:22" s="22" customFormat="1" x14ac:dyDescent="0.2">
      <c r="A24" s="22" t="s">
        <v>27</v>
      </c>
      <c r="B24" s="20">
        <f t="shared" ref="B24:S24" si="6">SUM(B22:E22)</f>
        <v>112.85499999999999</v>
      </c>
      <c r="C24" s="20">
        <f t="shared" si="6"/>
        <v>246.583</v>
      </c>
      <c r="D24" s="20">
        <f t="shared" si="6"/>
        <v>440.49</v>
      </c>
      <c r="E24" s="20">
        <f t="shared" si="6"/>
        <v>474.73699999999997</v>
      </c>
      <c r="F24" s="20">
        <f t="shared" si="6"/>
        <v>469.18300000000005</v>
      </c>
      <c r="G24" s="20">
        <f t="shared" si="6"/>
        <v>462.42500000000001</v>
      </c>
      <c r="H24" s="20">
        <f t="shared" si="6"/>
        <v>457.16</v>
      </c>
      <c r="I24" s="20">
        <f t="shared" si="6"/>
        <v>452.72400000000005</v>
      </c>
      <c r="J24" s="20">
        <f t="shared" si="6"/>
        <v>437.93299999999999</v>
      </c>
      <c r="K24" s="20">
        <f t="shared" si="6"/>
        <v>427.46899999999999</v>
      </c>
      <c r="L24" s="20">
        <f t="shared" si="6"/>
        <v>418.04599999999999</v>
      </c>
      <c r="M24" s="20">
        <f t="shared" si="6"/>
        <v>408.70699999999999</v>
      </c>
      <c r="N24" s="20">
        <f t="shared" si="6"/>
        <v>407.53</v>
      </c>
      <c r="O24" s="20">
        <f t="shared" si="6"/>
        <v>401.904</v>
      </c>
      <c r="P24" s="20">
        <f t="shared" si="6"/>
        <v>395.92399999999998</v>
      </c>
      <c r="Q24" s="20">
        <f t="shared" si="6"/>
        <v>386.755</v>
      </c>
      <c r="R24" s="20">
        <f t="shared" si="6"/>
        <v>377.33600000000007</v>
      </c>
      <c r="S24" s="20">
        <f t="shared" si="6"/>
        <v>367.65300000000002</v>
      </c>
      <c r="T24" s="20"/>
      <c r="U24" s="20"/>
      <c r="V24" s="20"/>
    </row>
    <row r="25" spans="1:22" s="23" customFormat="1" x14ac:dyDescent="0.2">
      <c r="A25" s="15" t="s">
        <v>26</v>
      </c>
      <c r="B25" s="27">
        <f>C25</f>
        <v>91.509999999999991</v>
      </c>
      <c r="C25" s="27">
        <f>D25</f>
        <v>91.509999999999991</v>
      </c>
      <c r="D25" s="27">
        <f>532-D24</f>
        <v>91.509999999999991</v>
      </c>
      <c r="E25" s="27">
        <f>556-E24</f>
        <v>81.263000000000034</v>
      </c>
      <c r="F25" s="27">
        <f>519-F24</f>
        <v>49.81699999999995</v>
      </c>
      <c r="G25" s="27">
        <f>502.3-G24</f>
        <v>39.875</v>
      </c>
      <c r="H25" s="27">
        <v>0</v>
      </c>
      <c r="I25" s="27">
        <v>0</v>
      </c>
      <c r="J25" s="27">
        <v>0</v>
      </c>
      <c r="K25" s="27">
        <v>0</v>
      </c>
      <c r="L25" s="27">
        <v>0</v>
      </c>
      <c r="M25" s="27">
        <v>0</v>
      </c>
      <c r="N25" s="27">
        <v>0</v>
      </c>
      <c r="O25" s="27">
        <v>0</v>
      </c>
      <c r="P25" s="27">
        <v>0</v>
      </c>
      <c r="Q25" s="27">
        <v>0</v>
      </c>
      <c r="R25" s="27">
        <v>0</v>
      </c>
      <c r="S25" s="27">
        <v>0</v>
      </c>
      <c r="T25" s="27"/>
      <c r="U25" s="27"/>
      <c r="V25" s="27"/>
    </row>
    <row r="26" spans="1:22"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6"/>
      <c r="U26" s="26"/>
      <c r="V26" s="26"/>
    </row>
    <row r="27" spans="1:22" s="24" customFormat="1" x14ac:dyDescent="0.2">
      <c r="A27" s="22" t="s">
        <v>24</v>
      </c>
      <c r="B27" s="20">
        <f t="shared" ref="B27:C27" si="7">SUM(B24:B26)</f>
        <v>204.36499999999998</v>
      </c>
      <c r="C27" s="20">
        <f t="shared" si="7"/>
        <v>338.09299999999996</v>
      </c>
      <c r="D27" s="20">
        <f t="shared" ref="D27:E27" si="8">SUM(D24:D26)</f>
        <v>532</v>
      </c>
      <c r="E27" s="20">
        <f t="shared" si="8"/>
        <v>556</v>
      </c>
      <c r="F27" s="20">
        <f t="shared" ref="F27:I27" si="9">SUM(F24:F26)</f>
        <v>519</v>
      </c>
      <c r="G27" s="20">
        <f t="shared" si="9"/>
        <v>502.3</v>
      </c>
      <c r="H27" s="20">
        <f t="shared" si="9"/>
        <v>457.16</v>
      </c>
      <c r="I27" s="20">
        <f t="shared" si="9"/>
        <v>452.72400000000005</v>
      </c>
      <c r="J27" s="20">
        <f t="shared" ref="J27:S27" si="10">SUM(J24:J26)</f>
        <v>437.93299999999999</v>
      </c>
      <c r="K27" s="20">
        <f t="shared" si="10"/>
        <v>427.46899999999999</v>
      </c>
      <c r="L27" s="20">
        <f t="shared" si="10"/>
        <v>418.04599999999999</v>
      </c>
      <c r="M27" s="20">
        <f t="shared" si="10"/>
        <v>408.70699999999999</v>
      </c>
      <c r="N27" s="20">
        <f t="shared" si="10"/>
        <v>407.53</v>
      </c>
      <c r="O27" s="20">
        <f t="shared" si="10"/>
        <v>401.904</v>
      </c>
      <c r="P27" s="20">
        <f t="shared" si="10"/>
        <v>395.92399999999998</v>
      </c>
      <c r="Q27" s="20">
        <f t="shared" si="10"/>
        <v>386.755</v>
      </c>
      <c r="R27" s="20">
        <f t="shared" si="10"/>
        <v>377.33600000000007</v>
      </c>
      <c r="S27" s="20">
        <f t="shared" si="10"/>
        <v>367.65300000000002</v>
      </c>
      <c r="T27" s="25"/>
      <c r="U27" s="25"/>
      <c r="V27" s="25"/>
    </row>
    <row r="28" spans="1:22" s="23" customFormat="1" x14ac:dyDescent="0.2"/>
    <row r="29" spans="1:22" s="22" customFormat="1" x14ac:dyDescent="0.2">
      <c r="A29" s="22" t="s">
        <v>23</v>
      </c>
      <c r="B29" s="20">
        <f t="shared" ref="B29" si="11">B22</f>
        <v>-3.2270000000000003</v>
      </c>
      <c r="C29" s="20">
        <f t="shared" ref="C29:D29" si="12">C22</f>
        <v>-74.98399999999998</v>
      </c>
      <c r="D29" s="20">
        <f t="shared" si="12"/>
        <v>73.281999999999996</v>
      </c>
      <c r="E29" s="20">
        <f t="shared" ref="E29:I29" si="13">E22</f>
        <v>117.78399999999998</v>
      </c>
      <c r="F29" s="20">
        <f t="shared" si="13"/>
        <v>130.501</v>
      </c>
      <c r="G29" s="20">
        <f t="shared" si="13"/>
        <v>118.923</v>
      </c>
      <c r="H29" s="20">
        <f t="shared" si="13"/>
        <v>107.52900000000001</v>
      </c>
      <c r="I29" s="20">
        <f t="shared" si="13"/>
        <v>112.23000000000002</v>
      </c>
      <c r="J29" s="20">
        <f t="shared" ref="J29:V29" si="14">J22</f>
        <v>123.74300000000001</v>
      </c>
      <c r="K29" s="20">
        <f t="shared" si="14"/>
        <v>113.658</v>
      </c>
      <c r="L29" s="20">
        <f t="shared" si="14"/>
        <v>103.093</v>
      </c>
      <c r="M29" s="20">
        <f t="shared" si="14"/>
        <v>97.438999999999993</v>
      </c>
      <c r="N29" s="20">
        <f t="shared" si="14"/>
        <v>113.279</v>
      </c>
      <c r="O29" s="20">
        <f t="shared" si="14"/>
        <v>104.235</v>
      </c>
      <c r="P29" s="20">
        <f t="shared" si="14"/>
        <v>93.754000000000005</v>
      </c>
      <c r="Q29" s="20">
        <f t="shared" si="14"/>
        <v>96.261999999999958</v>
      </c>
      <c r="R29" s="20">
        <f t="shared" si="14"/>
        <v>107.65300000000001</v>
      </c>
      <c r="S29" s="20">
        <f t="shared" si="14"/>
        <v>98.254999999999995</v>
      </c>
      <c r="T29" s="20">
        <f t="shared" si="14"/>
        <v>84.585000000000008</v>
      </c>
      <c r="U29" s="20">
        <f t="shared" si="14"/>
        <v>86.843000000000004</v>
      </c>
      <c r="V29" s="20">
        <f t="shared" si="14"/>
        <v>97.97</v>
      </c>
    </row>
    <row r="30" spans="1:22" s="11" customFormat="1" x14ac:dyDescent="0.2">
      <c r="A30" s="19" t="s">
        <v>22</v>
      </c>
      <c r="B30" s="19">
        <f>-76.213-C30-D30</f>
        <v>-16.917999999999989</v>
      </c>
      <c r="C30" s="19">
        <f>-59.295-D30</f>
        <v>-39.516000000000005</v>
      </c>
      <c r="D30" s="19">
        <v>-19.779</v>
      </c>
      <c r="E30" s="19">
        <f>-120.88-F30-G30-H30</f>
        <v>-38.86399999999999</v>
      </c>
      <c r="F30" s="19">
        <f>-82.016-G30-H30</f>
        <v>-20.210000000000012</v>
      </c>
      <c r="G30" s="19">
        <f>-61.806-H30</f>
        <v>-40.367999999999995</v>
      </c>
      <c r="H30" s="19">
        <v>-21.437999999999999</v>
      </c>
      <c r="I30" s="19">
        <f>-122.466-J30-K30-L30</f>
        <v>-42.167999999999992</v>
      </c>
      <c r="J30" s="19">
        <f>-80.298-K30-L30</f>
        <v>-23.251999999999999</v>
      </c>
      <c r="K30" s="19">
        <f>-57.046-L30</f>
        <v>-39.825000000000003</v>
      </c>
      <c r="L30" s="19">
        <v>-17.221</v>
      </c>
      <c r="M30" s="19">
        <f>-111.324-N30-O30-P30</f>
        <v>-36.538999999999994</v>
      </c>
      <c r="N30" s="19">
        <f>-74.785-P30-O30</f>
        <v>-13.294999999999995</v>
      </c>
      <c r="O30" s="19">
        <f>-61.49-P30</f>
        <v>-35.874000000000002</v>
      </c>
      <c r="P30" s="19">
        <v>-25.616</v>
      </c>
      <c r="Q30" s="19">
        <f>-109.791-T30-S30-R30</f>
        <v>-37.65</v>
      </c>
      <c r="R30" s="19">
        <f>-72.141-T30-S30</f>
        <v>-17.650000000000006</v>
      </c>
      <c r="S30" s="19">
        <f>-54.491-T30</f>
        <v>-36.545999999999999</v>
      </c>
      <c r="T30" s="19">
        <v>-17.945</v>
      </c>
      <c r="U30" s="19">
        <f>-20.191-60.974-(-20.191-32.908)</f>
        <v>-28.065999999999988</v>
      </c>
      <c r="V30" s="19">
        <f>-20.191-32.908-(-20.191-8.071)</f>
        <v>-24.837000000000003</v>
      </c>
    </row>
    <row r="31" spans="1:22" s="11" customFormat="1" x14ac:dyDescent="0.2">
      <c r="A31" s="19" t="s">
        <v>21</v>
      </c>
      <c r="B31" s="19">
        <f>32.51-C31-D31</f>
        <v>17.752999999999997</v>
      </c>
      <c r="C31" s="19">
        <f>14.757-D31</f>
        <v>10.951000000000001</v>
      </c>
      <c r="D31" s="19">
        <v>3.806</v>
      </c>
      <c r="E31" s="19">
        <f>25.319-F31-G31-H31</f>
        <v>-1.2730000000000006</v>
      </c>
      <c r="F31" s="19">
        <f>26.592-G31-H31</f>
        <v>-0.5550000000000006</v>
      </c>
      <c r="G31" s="19">
        <f>27.147-H31</f>
        <v>21.071999999999999</v>
      </c>
      <c r="H31" s="19">
        <v>6.0750000000000002</v>
      </c>
      <c r="I31" s="19">
        <f>-2.142-J31-K31-L31</f>
        <v>0.89700000000000013</v>
      </c>
      <c r="J31" s="19">
        <f>-3.039-K31-L31</f>
        <v>-1.0350000000000001</v>
      </c>
      <c r="K31" s="19">
        <f>-2.004-L31</f>
        <v>-1.7869999999999999</v>
      </c>
      <c r="L31" s="19">
        <v>-0.217</v>
      </c>
      <c r="M31" s="19">
        <f>-35.337-N31-O31-P31</f>
        <v>-0.47300000000000525</v>
      </c>
      <c r="N31" s="19">
        <f>-34.864-P31-O31</f>
        <v>-8.171999999999997</v>
      </c>
      <c r="O31" s="19">
        <f>-26.692-P31</f>
        <v>-26.402000000000001</v>
      </c>
      <c r="P31" s="19">
        <v>-0.28999999999999998</v>
      </c>
      <c r="Q31" s="19">
        <f>-4.259-T31-S31-R31</f>
        <v>-1.5579999999999998</v>
      </c>
      <c r="R31" s="19">
        <f>-2.701-T31-S31</f>
        <v>-0.79800000000000004</v>
      </c>
      <c r="S31" s="19">
        <f>-1.903-T31</f>
        <v>-1.0860000000000001</v>
      </c>
      <c r="T31" s="19">
        <v>-0.81699999999999995</v>
      </c>
      <c r="U31" s="19">
        <f>-10.313-11.954-(-10.313-10.404)</f>
        <v>-1.5500000000000043</v>
      </c>
      <c r="V31" s="19">
        <f>-10.313-10.404-(-10.313-1.748)</f>
        <v>-8.6559999999999988</v>
      </c>
    </row>
    <row r="32" spans="1:22" s="11" customFormat="1" x14ac:dyDescent="0.2">
      <c r="A32" s="19" t="s">
        <v>20</v>
      </c>
      <c r="B32" s="19">
        <f>45.755-C32-D32</f>
        <v>28.847999999999999</v>
      </c>
      <c r="C32" s="19">
        <f>16.907-D32</f>
        <v>-19.014999999999997</v>
      </c>
      <c r="D32" s="19">
        <v>35.921999999999997</v>
      </c>
      <c r="E32" s="19">
        <f>36.512-F32-G32-H32</f>
        <v>-12.133000000000001</v>
      </c>
      <c r="F32" s="19">
        <f>48.645-G32-H32</f>
        <v>19.538000000000004</v>
      </c>
      <c r="G32" s="19">
        <f>29.107-H32</f>
        <v>19.238999999999997</v>
      </c>
      <c r="H32" s="19">
        <v>9.8680000000000003</v>
      </c>
      <c r="I32" s="19">
        <f>30.942-J32-K32-L32</f>
        <v>2.5300000000000011</v>
      </c>
      <c r="J32" s="19">
        <f>28.412-K32-L32</f>
        <v>7.9570000000000007</v>
      </c>
      <c r="K32" s="19">
        <f>20.455-L32</f>
        <v>1.9549999999999983</v>
      </c>
      <c r="L32" s="19">
        <v>18.5</v>
      </c>
      <c r="M32" s="19">
        <f>-26.158-N32-O32-P32</f>
        <v>-20.007999999999999</v>
      </c>
      <c r="N32" s="19">
        <f>-6.15-P32-O32</f>
        <v>15.515000000000001</v>
      </c>
      <c r="O32" s="19">
        <f>-21.665-P32</f>
        <v>-33.929000000000002</v>
      </c>
      <c r="P32" s="19">
        <v>12.263999999999999</v>
      </c>
      <c r="Q32" s="19">
        <f>46.078-T32-S32-R32</f>
        <v>12.122</v>
      </c>
      <c r="R32" s="19">
        <f>33.956-T32-S32</f>
        <v>-3.0640000000000001</v>
      </c>
      <c r="S32" s="19">
        <f>37.02-T32</f>
        <v>7.2450000000000045</v>
      </c>
      <c r="T32" s="19">
        <v>29.774999999999999</v>
      </c>
      <c r="U32" s="19">
        <f>127.452-123.557-(127.452-80.821)</f>
        <v>-42.736000000000004</v>
      </c>
      <c r="V32" s="19">
        <f>127.452-80.821-(127.452-83.958)</f>
        <v>3.1370000000000005</v>
      </c>
    </row>
    <row r="33" spans="1:23" s="11" customFormat="1" x14ac:dyDescent="0.2">
      <c r="A33" s="19" t="s">
        <v>19</v>
      </c>
      <c r="B33" s="19">
        <f t="shared" ref="B33:D33" si="15">-SUM(B19:B21)</f>
        <v>-17.684000000000001</v>
      </c>
      <c r="C33" s="19">
        <f t="shared" si="15"/>
        <v>-12.582000000000001</v>
      </c>
      <c r="D33" s="19">
        <f t="shared" si="15"/>
        <v>-21.201000000000001</v>
      </c>
      <c r="E33" s="19">
        <f t="shared" ref="E33:V33" si="16">-SUM(E19:E21)</f>
        <v>-15.725999999999999</v>
      </c>
      <c r="F33" s="19">
        <f t="shared" si="16"/>
        <v>-10.035</v>
      </c>
      <c r="G33" s="19">
        <f t="shared" si="16"/>
        <v>-10.865</v>
      </c>
      <c r="H33" s="19">
        <f t="shared" si="16"/>
        <v>-1.9180000000000001</v>
      </c>
      <c r="I33" s="19">
        <f t="shared" si="16"/>
        <v>-3.7220000000000004</v>
      </c>
      <c r="J33" s="19">
        <f t="shared" si="16"/>
        <v>-15.297999999999998</v>
      </c>
      <c r="K33" s="19">
        <f t="shared" si="16"/>
        <v>-4.5620000000000003</v>
      </c>
      <c r="L33" s="19">
        <f t="shared" si="16"/>
        <v>-6.2320000000000002</v>
      </c>
      <c r="M33" s="19">
        <f t="shared" si="16"/>
        <v>-13.657</v>
      </c>
      <c r="N33" s="19">
        <f t="shared" si="16"/>
        <v>-3.976</v>
      </c>
      <c r="O33" s="19">
        <f t="shared" si="16"/>
        <v>-3.645</v>
      </c>
      <c r="P33" s="19">
        <f t="shared" si="16"/>
        <v>-3.9889999999999999</v>
      </c>
      <c r="Q33" s="19">
        <f t="shared" si="16"/>
        <v>-7.5709999999999971</v>
      </c>
      <c r="R33" s="19">
        <f t="shared" si="16"/>
        <v>-5.0780000000000003</v>
      </c>
      <c r="S33" s="19">
        <f t="shared" si="16"/>
        <v>-6.9569999999999999</v>
      </c>
      <c r="T33" s="19">
        <f t="shared" si="16"/>
        <v>-3.0090000000000003</v>
      </c>
      <c r="U33" s="19">
        <f t="shared" si="16"/>
        <v>-14.63600000000001</v>
      </c>
      <c r="V33" s="19">
        <f t="shared" si="16"/>
        <v>-2.9670000000000001</v>
      </c>
    </row>
    <row r="34" spans="1:23" s="11" customFormat="1" x14ac:dyDescent="0.2">
      <c r="A34" s="19" t="s">
        <v>18</v>
      </c>
      <c r="B34" s="19">
        <f t="shared" ref="B34:D34" si="17">B35-SUM(B29:B33)</f>
        <v>-20.560999999999993</v>
      </c>
      <c r="C34" s="19">
        <f t="shared" si="17"/>
        <v>8.3009999999999877</v>
      </c>
      <c r="D34" s="19">
        <f t="shared" si="17"/>
        <v>10.438999999999993</v>
      </c>
      <c r="E34" s="19">
        <f t="shared" ref="E34:M34" si="18">E35-SUM(E29:E33)</f>
        <v>19.139000000000024</v>
      </c>
      <c r="F34" s="19">
        <f t="shared" si="18"/>
        <v>-10.875</v>
      </c>
      <c r="G34" s="19">
        <f t="shared" si="18"/>
        <v>-10.954000000000022</v>
      </c>
      <c r="H34" s="19">
        <f t="shared" si="18"/>
        <v>-15.736000000000004</v>
      </c>
      <c r="I34" s="19">
        <f t="shared" si="18"/>
        <v>8.3369999999999465</v>
      </c>
      <c r="J34" s="19">
        <f t="shared" si="18"/>
        <v>9.7959999999999923</v>
      </c>
      <c r="K34" s="19">
        <f t="shared" si="18"/>
        <v>5.0420000000000016</v>
      </c>
      <c r="L34" s="19">
        <f t="shared" si="18"/>
        <v>-16.225999999999999</v>
      </c>
      <c r="M34" s="19">
        <f t="shared" si="18"/>
        <v>32.236000000000004</v>
      </c>
      <c r="N34" s="19">
        <v>0</v>
      </c>
      <c r="O34" s="19">
        <f t="shared" ref="O34:V34" si="19">O35-SUM(O29:O33)</f>
        <v>19.260000000000016</v>
      </c>
      <c r="P34" s="19">
        <f t="shared" si="19"/>
        <v>-12.221999999999987</v>
      </c>
      <c r="Q34" s="19">
        <f t="shared" si="19"/>
        <v>-0.26099999999995305</v>
      </c>
      <c r="R34" s="19">
        <f t="shared" si="19"/>
        <v>-12.228999999999999</v>
      </c>
      <c r="S34" s="19">
        <f t="shared" si="19"/>
        <v>4.6060000000000159</v>
      </c>
      <c r="T34" s="19">
        <f t="shared" si="19"/>
        <v>-20.205000000000013</v>
      </c>
      <c r="U34" s="19">
        <f t="shared" si="19"/>
        <v>50.688999999999986</v>
      </c>
      <c r="V34" s="19">
        <f t="shared" si="19"/>
        <v>-19.188000000000002</v>
      </c>
    </row>
    <row r="35" spans="1:23" s="20" customFormat="1" x14ac:dyDescent="0.2">
      <c r="A35" s="20" t="s">
        <v>17</v>
      </c>
      <c r="B35" s="20">
        <f>-56.165-C35-D35</f>
        <v>-11.788999999999987</v>
      </c>
      <c r="C35" s="20">
        <f>-44.376-D35</f>
        <v>-126.845</v>
      </c>
      <c r="D35" s="20">
        <v>82.468999999999994</v>
      </c>
      <c r="E35" s="20">
        <f>358.718-F35-G35-H35</f>
        <v>68.927000000000021</v>
      </c>
      <c r="F35" s="20">
        <f>289.791-G35-H35</f>
        <v>108.364</v>
      </c>
      <c r="G35" s="20">
        <f>181.427-H35</f>
        <v>97.046999999999997</v>
      </c>
      <c r="H35" s="20">
        <v>84.38</v>
      </c>
      <c r="I35" s="20">
        <f>336.193-J35-K35-L35</f>
        <v>78.103999999999985</v>
      </c>
      <c r="J35" s="20">
        <f>258.089-K35-L35</f>
        <v>101.911</v>
      </c>
      <c r="K35" s="20">
        <f>156.178-L35</f>
        <v>74.480999999999995</v>
      </c>
      <c r="L35" s="20">
        <v>81.697000000000003</v>
      </c>
      <c r="M35" s="20">
        <f>245.695-N35-O35-P35</f>
        <v>58.997999999999998</v>
      </c>
      <c r="N35" s="20">
        <f>186.697-P35-O35</f>
        <v>99.150999999999982</v>
      </c>
      <c r="O35" s="20">
        <f>87.546-P35</f>
        <v>23.645000000000003</v>
      </c>
      <c r="P35" s="20">
        <v>63.901000000000003</v>
      </c>
      <c r="Q35" s="20">
        <f>268.079-T35-S35-R35</f>
        <v>61.344000000000008</v>
      </c>
      <c r="R35" s="20">
        <f>206.735-T35-S35</f>
        <v>68.833999999999989</v>
      </c>
      <c r="S35" s="20">
        <f>137.901-T35</f>
        <v>65.51700000000001</v>
      </c>
      <c r="T35" s="20">
        <v>72.384</v>
      </c>
      <c r="U35" s="20">
        <f>181.268+13.182-(181.268-37.362)</f>
        <v>50.543999999999983</v>
      </c>
      <c r="V35" s="20">
        <f>181.268-37.362-(181.268-82.821)</f>
        <v>45.459000000000003</v>
      </c>
    </row>
    <row r="36" spans="1:23" s="11" customFormat="1" x14ac:dyDescent="0.2">
      <c r="A36" s="19" t="s">
        <v>16</v>
      </c>
      <c r="B36" s="21">
        <f>-213.876-C36-D36</f>
        <v>-45.584000000000003</v>
      </c>
      <c r="C36" s="21">
        <f>-168.292-D36</f>
        <v>-29.813999999999993</v>
      </c>
      <c r="D36" s="21">
        <v>-138.47800000000001</v>
      </c>
      <c r="E36" s="21">
        <f>-624.017-F36-G36-H36</f>
        <v>-208.46700000000004</v>
      </c>
      <c r="F36" s="21">
        <f>-415.55-G36-H36</f>
        <v>-142.666</v>
      </c>
      <c r="G36" s="21">
        <f>-272.884-H36</f>
        <v>-134.298</v>
      </c>
      <c r="H36" s="21">
        <v>-138.58600000000001</v>
      </c>
      <c r="I36" s="21">
        <f>-604.826-J36-K36-L36</f>
        <v>-177.60200000000003</v>
      </c>
      <c r="J36" s="21">
        <f>-427.224-K36-L36</f>
        <v>-132.48399999999998</v>
      </c>
      <c r="K36" s="21">
        <f>-294.74-L36</f>
        <v>-161.13200000000001</v>
      </c>
      <c r="L36" s="21">
        <v>-133.608</v>
      </c>
      <c r="M36" s="21">
        <f>-429.485-N36-O36-P36</f>
        <v>-134.33500000000004</v>
      </c>
      <c r="N36" s="21">
        <f>-295.15-P36-O36</f>
        <v>-96.005999999999972</v>
      </c>
      <c r="O36" s="21">
        <f>-199.144-P36</f>
        <v>-116.75800000000001</v>
      </c>
      <c r="P36" s="21">
        <v>-82.385999999999996</v>
      </c>
      <c r="Q36" s="21">
        <f>-304.238-T36-S36-R36</f>
        <v>-113.40199999999999</v>
      </c>
      <c r="R36" s="21">
        <f>-190.836-T36-S36</f>
        <v>-68.380000000000024</v>
      </c>
      <c r="S36" s="21">
        <f>-122.456-T36</f>
        <v>-62.917000000000002</v>
      </c>
      <c r="T36" s="21">
        <v>-59.539000000000001</v>
      </c>
      <c r="U36" s="21">
        <f>-156.938-190.555-(-156.938-98.908)</f>
        <v>-91.646999999999991</v>
      </c>
      <c r="V36" s="21">
        <f>-156.938-98.908-(-156.938-6.75)</f>
        <v>-92.158000000000015</v>
      </c>
    </row>
    <row r="37" spans="1:23" s="20" customFormat="1" x14ac:dyDescent="0.2">
      <c r="A37" s="20" t="s">
        <v>15</v>
      </c>
      <c r="B37" s="20">
        <f t="shared" ref="B37:V37" si="20">+B35+B36</f>
        <v>-57.37299999999999</v>
      </c>
      <c r="C37" s="20">
        <f t="shared" si="20"/>
        <v>-156.65899999999999</v>
      </c>
      <c r="D37" s="20">
        <f t="shared" si="20"/>
        <v>-56.009000000000015</v>
      </c>
      <c r="E37" s="20">
        <f t="shared" si="20"/>
        <v>-139.54000000000002</v>
      </c>
      <c r="F37" s="20">
        <f t="shared" si="20"/>
        <v>-34.301999999999992</v>
      </c>
      <c r="G37" s="20">
        <f t="shared" si="20"/>
        <v>-37.251000000000005</v>
      </c>
      <c r="H37" s="20">
        <f t="shared" si="20"/>
        <v>-54.206000000000017</v>
      </c>
      <c r="I37" s="20">
        <f t="shared" si="20"/>
        <v>-99.498000000000047</v>
      </c>
      <c r="J37" s="20">
        <f t="shared" si="20"/>
        <v>-30.572999999999979</v>
      </c>
      <c r="K37" s="20">
        <f t="shared" si="20"/>
        <v>-86.65100000000001</v>
      </c>
      <c r="L37" s="20">
        <f t="shared" si="20"/>
        <v>-51.911000000000001</v>
      </c>
      <c r="M37" s="20">
        <f t="shared" si="20"/>
        <v>-75.337000000000046</v>
      </c>
      <c r="N37" s="20">
        <f t="shared" si="20"/>
        <v>3.1450000000000102</v>
      </c>
      <c r="O37" s="20">
        <f t="shared" si="20"/>
        <v>-93.113</v>
      </c>
      <c r="P37" s="20">
        <f t="shared" si="20"/>
        <v>-18.484999999999992</v>
      </c>
      <c r="Q37" s="20">
        <f t="shared" si="20"/>
        <v>-52.057999999999979</v>
      </c>
      <c r="R37" s="20">
        <f t="shared" si="20"/>
        <v>0.4539999999999651</v>
      </c>
      <c r="S37" s="20">
        <f t="shared" si="20"/>
        <v>2.6000000000000085</v>
      </c>
      <c r="T37" s="20">
        <f t="shared" si="20"/>
        <v>12.844999999999999</v>
      </c>
      <c r="U37" s="20">
        <f t="shared" si="20"/>
        <v>-41.103000000000009</v>
      </c>
      <c r="V37" s="20">
        <f t="shared" si="20"/>
        <v>-46.699000000000012</v>
      </c>
    </row>
    <row r="39" spans="1:23" s="16" customFormat="1" x14ac:dyDescent="0.2">
      <c r="A39" s="18" t="s">
        <v>14</v>
      </c>
      <c r="B39" s="19">
        <v>93</v>
      </c>
      <c r="C39" s="19">
        <v>93</v>
      </c>
      <c r="D39" s="19">
        <v>320</v>
      </c>
      <c r="E39" s="19">
        <v>175</v>
      </c>
      <c r="F39" s="19">
        <v>5</v>
      </c>
      <c r="G39" s="19">
        <v>15</v>
      </c>
      <c r="H39" s="19">
        <v>0</v>
      </c>
      <c r="I39" s="19">
        <v>87</v>
      </c>
      <c r="J39" s="19">
        <v>0</v>
      </c>
      <c r="K39" s="19">
        <v>0</v>
      </c>
      <c r="L39" s="19">
        <v>0</v>
      </c>
      <c r="M39" s="19">
        <v>18</v>
      </c>
      <c r="N39" s="19">
        <v>33</v>
      </c>
      <c r="O39" s="19">
        <v>12</v>
      </c>
      <c r="P39" s="19">
        <v>0</v>
      </c>
      <c r="Q39" s="19">
        <v>0</v>
      </c>
      <c r="R39" s="19">
        <v>0</v>
      </c>
      <c r="S39" s="19">
        <v>0</v>
      </c>
      <c r="T39" s="19"/>
      <c r="U39" s="19"/>
      <c r="V39" s="19"/>
    </row>
    <row r="40" spans="1:23" s="16" customFormat="1" x14ac:dyDescent="0.2">
      <c r="A40" s="18" t="s">
        <v>13</v>
      </c>
      <c r="B40" s="19">
        <f>1475+310</f>
        <v>1785</v>
      </c>
      <c r="C40" s="19">
        <f>1479+318</f>
        <v>1797</v>
      </c>
      <c r="D40" s="19">
        <f>1483+207</f>
        <v>1690</v>
      </c>
      <c r="E40" s="19">
        <f>1487+210</f>
        <v>1697</v>
      </c>
      <c r="F40" s="19">
        <f>1491+183+500</f>
        <v>2174</v>
      </c>
      <c r="G40" s="19">
        <f>1494.4+500+188</f>
        <v>2182.4</v>
      </c>
      <c r="H40" s="19">
        <f>1498.202+188.957</f>
        <v>1687.1590000000001</v>
      </c>
      <c r="I40" s="19">
        <f>1589.004+193.874-I39</f>
        <v>1695.8779999999999</v>
      </c>
      <c r="J40" s="19">
        <f>1505.807-J39+198.725</f>
        <v>1704.5319999999999</v>
      </c>
      <c r="K40" s="19">
        <f>1509.609-K39+203.511</f>
        <v>1713.12</v>
      </c>
      <c r="L40" s="19">
        <f>1513.412+208.242</f>
        <v>1721.654</v>
      </c>
      <c r="M40" s="19">
        <f>1335.214-M39+212.938</f>
        <v>1530.152</v>
      </c>
      <c r="N40" s="19">
        <f>1353.515-N39+217.57</f>
        <v>1538.085</v>
      </c>
      <c r="O40" s="19">
        <f>1335.842-O39+222.139</f>
        <v>1545.9810000000002</v>
      </c>
      <c r="P40" s="19">
        <f>1327.168+226.656</f>
        <v>1553.8239999999998</v>
      </c>
      <c r="Q40" s="19">
        <f>1330.494-Q39+231.141</f>
        <v>1561.635</v>
      </c>
      <c r="R40" s="19">
        <f>1333.871+235.565</f>
        <v>1569.4360000000001</v>
      </c>
      <c r="S40" s="19">
        <f>1337.248+239.928+6.017</f>
        <v>1583.193</v>
      </c>
      <c r="T40" s="19"/>
      <c r="U40" s="19"/>
      <c r="V40" s="19"/>
    </row>
    <row r="41" spans="1:23" s="16" customFormat="1" x14ac:dyDescent="0.2">
      <c r="A41" s="18" t="s">
        <v>12</v>
      </c>
      <c r="B41" s="19">
        <f>B39+B40+450</f>
        <v>2328</v>
      </c>
      <c r="C41" s="19">
        <f>C39+C40+450</f>
        <v>2340</v>
      </c>
      <c r="D41" s="19">
        <f>D39+D40+450</f>
        <v>2460</v>
      </c>
      <c r="E41" s="19">
        <f>E39+E40+450</f>
        <v>2322</v>
      </c>
      <c r="F41" s="19">
        <f>F39+F40+450-450</f>
        <v>2179</v>
      </c>
      <c r="G41" s="19">
        <f>G39+G40</f>
        <v>2197.4</v>
      </c>
      <c r="H41" s="19">
        <f>H39+H40+450+1.084</f>
        <v>2138.2429999999999</v>
      </c>
      <c r="I41" s="19">
        <f>I39+I40+450+1.084</f>
        <v>2233.9619999999995</v>
      </c>
      <c r="J41" s="19">
        <f>J39+J40+450+1.193</f>
        <v>2155.7250000000004</v>
      </c>
      <c r="K41" s="19">
        <f>K39+K40+450+1.362</f>
        <v>2164.482</v>
      </c>
      <c r="L41" s="19">
        <f>L39+L40+450+1.362+4.258</f>
        <v>2177.2739999999999</v>
      </c>
      <c r="M41" s="19">
        <f>M40+M39+450+1.364</f>
        <v>1999.5160000000001</v>
      </c>
      <c r="N41" s="19">
        <f>N39+N40+450+1.623</f>
        <v>2022.7080000000001</v>
      </c>
      <c r="O41" s="19">
        <f>O39+O40+450+1.788</f>
        <v>2009.7690000000002</v>
      </c>
      <c r="P41" s="19">
        <f>P39+P40+450+1.788</f>
        <v>2005.6119999999999</v>
      </c>
      <c r="Q41" s="19">
        <f>Q39+Q40+450+1.788</f>
        <v>2013.423</v>
      </c>
      <c r="R41" s="19">
        <f>R39+R40+450+2.694</f>
        <v>2022.13</v>
      </c>
      <c r="S41" s="19">
        <f>S39+S40+450+60.075</f>
        <v>2093.268</v>
      </c>
      <c r="T41" s="19"/>
      <c r="U41" s="19"/>
      <c r="V41" s="19"/>
    </row>
    <row r="42" spans="1:23" s="16" customFormat="1" x14ac:dyDescent="0.2">
      <c r="A42" s="18" t="s">
        <v>11</v>
      </c>
      <c r="B42" s="17">
        <v>1728</v>
      </c>
      <c r="C42" s="17">
        <v>1728</v>
      </c>
      <c r="D42" s="17">
        <v>1728</v>
      </c>
      <c r="E42" s="17">
        <v>1728</v>
      </c>
      <c r="F42" s="17">
        <v>1728</v>
      </c>
      <c r="G42" s="17">
        <v>1728</v>
      </c>
      <c r="H42" s="17">
        <v>1295</v>
      </c>
      <c r="I42" s="17">
        <v>1295</v>
      </c>
      <c r="J42" s="17">
        <v>1295</v>
      </c>
      <c r="K42" s="17">
        <v>1295</v>
      </c>
      <c r="L42" s="17">
        <v>1295</v>
      </c>
      <c r="M42" s="17">
        <v>1295</v>
      </c>
      <c r="N42" s="17">
        <v>1295</v>
      </c>
      <c r="O42" s="17">
        <v>1295</v>
      </c>
      <c r="P42" s="17">
        <v>1295</v>
      </c>
      <c r="Q42" s="17">
        <v>1295</v>
      </c>
      <c r="R42" s="17">
        <v>1295</v>
      </c>
      <c r="S42" s="17">
        <v>1295</v>
      </c>
      <c r="T42" s="17"/>
      <c r="U42" s="17"/>
      <c r="V42" s="17"/>
    </row>
    <row r="43" spans="1:23" x14ac:dyDescent="0.2">
      <c r="B43" s="11"/>
      <c r="C43" s="11"/>
      <c r="D43" s="11"/>
      <c r="E43" s="11"/>
      <c r="F43" s="11"/>
      <c r="G43" s="11"/>
      <c r="H43" s="11"/>
      <c r="I43" s="11"/>
      <c r="J43" s="11"/>
      <c r="K43" s="11"/>
      <c r="L43" s="11"/>
      <c r="M43" s="11"/>
      <c r="N43" s="11"/>
      <c r="O43" s="11"/>
      <c r="P43" s="16"/>
      <c r="Q43" s="16"/>
    </row>
    <row r="44" spans="1:23" x14ac:dyDescent="0.2">
      <c r="A44" s="15" t="s">
        <v>10</v>
      </c>
      <c r="B44" s="27">
        <v>40.057000000000002</v>
      </c>
      <c r="C44" s="27">
        <v>89.97</v>
      </c>
      <c r="D44" s="27">
        <v>365.24099999999999</v>
      </c>
      <c r="E44" s="27">
        <v>47.951000000000001</v>
      </c>
      <c r="F44" s="27">
        <f>42.267+141.4</f>
        <v>183.667</v>
      </c>
      <c r="G44" s="27">
        <f>46.8+141.4</f>
        <v>188.2</v>
      </c>
      <c r="H44" s="27">
        <v>77.722999999999999</v>
      </c>
      <c r="I44" s="27">
        <v>33.523000000000003</v>
      </c>
      <c r="J44" s="27">
        <v>37.468000000000004</v>
      </c>
      <c r="K44" s="27">
        <v>82.576999999999998</v>
      </c>
      <c r="L44" s="27">
        <v>164.96799999999999</v>
      </c>
      <c r="M44" s="27">
        <v>41.701000000000001</v>
      </c>
      <c r="N44" s="27">
        <v>35.985999999999997</v>
      </c>
      <c r="O44" s="27">
        <v>25.384</v>
      </c>
      <c r="P44" s="27">
        <v>97.603999999999999</v>
      </c>
      <c r="Q44" s="27">
        <v>124.389</v>
      </c>
      <c r="R44" s="27">
        <v>71.873000000000005</v>
      </c>
      <c r="S44" s="27">
        <v>79.887</v>
      </c>
      <c r="T44" s="27"/>
      <c r="U44" s="27"/>
      <c r="V44" s="27"/>
    </row>
    <row r="45" spans="1:23" x14ac:dyDescent="0.2">
      <c r="W45" s="16"/>
    </row>
    <row r="46" spans="1:23" x14ac:dyDescent="0.2">
      <c r="A46" s="1" t="s">
        <v>9</v>
      </c>
      <c r="B46" s="11">
        <f t="shared" ref="B46:S46" si="21">SUM(B12:E12)</f>
        <v>1185.8430000000001</v>
      </c>
      <c r="C46" s="11">
        <f t="shared" si="21"/>
        <v>1453.116</v>
      </c>
      <c r="D46" s="11">
        <f t="shared" si="21"/>
        <v>1853.8920000000003</v>
      </c>
      <c r="E46" s="11">
        <f t="shared" si="21"/>
        <v>1900.3710000000001</v>
      </c>
      <c r="F46" s="11">
        <f t="shared" si="21"/>
        <v>1864.8009999999997</v>
      </c>
      <c r="G46" s="11">
        <f t="shared" si="21"/>
        <v>1829.569</v>
      </c>
      <c r="H46" s="11">
        <f t="shared" si="21"/>
        <v>1791.7260000000001</v>
      </c>
      <c r="I46" s="11">
        <f t="shared" si="21"/>
        <v>1750.4590000000001</v>
      </c>
      <c r="J46" s="11">
        <f t="shared" si="21"/>
        <v>1712.6579999999999</v>
      </c>
      <c r="K46" s="11">
        <f t="shared" si="21"/>
        <v>1672.0349999999999</v>
      </c>
      <c r="L46" s="11">
        <f t="shared" si="21"/>
        <v>1629.4190000000001</v>
      </c>
      <c r="M46" s="11">
        <f t="shared" si="21"/>
        <v>1593.2090000000001</v>
      </c>
      <c r="N46" s="11">
        <f t="shared" si="21"/>
        <v>1563.077</v>
      </c>
      <c r="O46" s="11">
        <f t="shared" si="21"/>
        <v>1528.7339999999999</v>
      </c>
      <c r="P46" s="11">
        <f t="shared" si="21"/>
        <v>1501.5339999999999</v>
      </c>
      <c r="Q46" s="11">
        <f t="shared" si="21"/>
        <v>1475.3109999999999</v>
      </c>
      <c r="R46" s="11">
        <f t="shared" si="21"/>
        <v>1427.1849999999999</v>
      </c>
      <c r="S46" s="11">
        <f t="shared" si="21"/>
        <v>1400.636</v>
      </c>
    </row>
    <row r="47" spans="1:23" x14ac:dyDescent="0.2">
      <c r="A47" s="1" t="s">
        <v>8</v>
      </c>
      <c r="B47" s="11">
        <f t="shared" ref="B47" si="22">+B27</f>
        <v>204.36499999999998</v>
      </c>
      <c r="C47" s="11">
        <f t="shared" ref="C47:D47" si="23">+C27</f>
        <v>338.09299999999996</v>
      </c>
      <c r="D47" s="11">
        <f t="shared" si="23"/>
        <v>532</v>
      </c>
      <c r="E47" s="11">
        <f t="shared" ref="E47:F47" si="24">+E27</f>
        <v>556</v>
      </c>
      <c r="F47" s="11">
        <f t="shared" si="24"/>
        <v>519</v>
      </c>
      <c r="G47" s="11">
        <f t="shared" ref="G47:I47" si="25">+G27</f>
        <v>502.3</v>
      </c>
      <c r="H47" s="11">
        <f t="shared" si="25"/>
        <v>457.16</v>
      </c>
      <c r="I47" s="11">
        <f t="shared" si="25"/>
        <v>452.72400000000005</v>
      </c>
      <c r="J47" s="11">
        <f t="shared" ref="J47:S47" si="26">+J27</f>
        <v>437.93299999999999</v>
      </c>
      <c r="K47" s="11">
        <f t="shared" si="26"/>
        <v>427.46899999999999</v>
      </c>
      <c r="L47" s="11">
        <f t="shared" si="26"/>
        <v>418.04599999999999</v>
      </c>
      <c r="M47" s="11">
        <f t="shared" si="26"/>
        <v>408.70699999999999</v>
      </c>
      <c r="N47" s="11">
        <f t="shared" si="26"/>
        <v>407.53</v>
      </c>
      <c r="O47" s="11">
        <f t="shared" si="26"/>
        <v>401.904</v>
      </c>
      <c r="P47" s="11">
        <f t="shared" si="26"/>
        <v>395.92399999999998</v>
      </c>
      <c r="Q47" s="11">
        <f t="shared" si="26"/>
        <v>386.755</v>
      </c>
      <c r="R47" s="11">
        <f t="shared" si="26"/>
        <v>377.33600000000007</v>
      </c>
      <c r="S47" s="11">
        <f t="shared" si="26"/>
        <v>367.65300000000002</v>
      </c>
    </row>
    <row r="48" spans="1:23" x14ac:dyDescent="0.2">
      <c r="A48" s="1" t="s">
        <v>7</v>
      </c>
      <c r="B48" s="11">
        <f t="shared" ref="B48:S48" si="27">+SUM(B37:E37)</f>
        <v>-409.58100000000002</v>
      </c>
      <c r="C48" s="11">
        <f t="shared" si="27"/>
        <v>-386.51</v>
      </c>
      <c r="D48" s="11">
        <f t="shared" si="27"/>
        <v>-267.10200000000003</v>
      </c>
      <c r="E48" s="11">
        <f t="shared" si="27"/>
        <v>-265.29900000000004</v>
      </c>
      <c r="F48" s="11">
        <f t="shared" si="27"/>
        <v>-225.25700000000006</v>
      </c>
      <c r="G48" s="11">
        <f t="shared" si="27"/>
        <v>-221.52800000000005</v>
      </c>
      <c r="H48" s="11">
        <f t="shared" si="27"/>
        <v>-270.92800000000005</v>
      </c>
      <c r="I48" s="11">
        <f t="shared" si="27"/>
        <v>-268.63300000000004</v>
      </c>
      <c r="J48" s="11">
        <f t="shared" si="27"/>
        <v>-244.47200000000004</v>
      </c>
      <c r="K48" s="11">
        <f t="shared" si="27"/>
        <v>-210.75400000000005</v>
      </c>
      <c r="L48" s="11">
        <f t="shared" si="27"/>
        <v>-217.21600000000004</v>
      </c>
      <c r="M48" s="11">
        <f t="shared" si="27"/>
        <v>-183.79000000000002</v>
      </c>
      <c r="N48" s="11">
        <f t="shared" si="27"/>
        <v>-160.51099999999997</v>
      </c>
      <c r="O48" s="11">
        <f t="shared" si="27"/>
        <v>-163.202</v>
      </c>
      <c r="P48" s="11">
        <f t="shared" si="27"/>
        <v>-67.489000000000004</v>
      </c>
      <c r="Q48" s="11">
        <f t="shared" si="27"/>
        <v>-36.159000000000006</v>
      </c>
      <c r="R48" s="11">
        <f t="shared" si="27"/>
        <v>-25.204000000000036</v>
      </c>
      <c r="S48" s="11">
        <f t="shared" si="27"/>
        <v>-72.357000000000014</v>
      </c>
    </row>
    <row r="50" spans="1:22" s="10" customFormat="1" x14ac:dyDescent="0.2">
      <c r="A50" s="10" t="s">
        <v>6</v>
      </c>
      <c r="B50" s="10">
        <f t="shared" ref="B50" si="28">+SUM(B39:B40)/B47</f>
        <v>9.1894404619186272</v>
      </c>
      <c r="C50" s="10">
        <f t="shared" ref="C50:D50" si="29">+SUM(C39:C40)/C47</f>
        <v>5.5901778504730952</v>
      </c>
      <c r="D50" s="10">
        <f t="shared" si="29"/>
        <v>3.7781954887218046</v>
      </c>
      <c r="E50" s="10">
        <f t="shared" ref="E50:F50" si="30">+SUM(E39:E40)/E47</f>
        <v>3.3669064748201438</v>
      </c>
      <c r="F50" s="10">
        <f t="shared" si="30"/>
        <v>4.1984585741811173</v>
      </c>
      <c r="G50" s="10">
        <f t="shared" ref="G50" si="31">+SUM(G39:G40)/G47</f>
        <v>4.3746764881544893</v>
      </c>
      <c r="H50" s="10">
        <f t="shared" ref="H50:I50" si="32">+SUM(H39:H40)/H47</f>
        <v>3.6905219179280779</v>
      </c>
      <c r="I50" s="10">
        <f t="shared" si="32"/>
        <v>3.9381124040254099</v>
      </c>
      <c r="J50" s="10">
        <f t="shared" ref="J50:K50" si="33">+SUM(J39:J40)/J47</f>
        <v>3.8922209561736612</v>
      </c>
      <c r="K50" s="10">
        <f t="shared" si="33"/>
        <v>4.0075888543964586</v>
      </c>
      <c r="L50" s="10">
        <f t="shared" ref="L50:S50" si="34">+SUM(L39:L40)/L47</f>
        <v>4.1183362596460675</v>
      </c>
      <c r="M50" s="10">
        <f t="shared" si="34"/>
        <v>3.787926313960857</v>
      </c>
      <c r="N50" s="10">
        <f t="shared" si="34"/>
        <v>3.8551394989325942</v>
      </c>
      <c r="O50" s="10">
        <f t="shared" si="34"/>
        <v>3.8765003582945186</v>
      </c>
      <c r="P50" s="10">
        <f t="shared" si="34"/>
        <v>3.9245511764884169</v>
      </c>
      <c r="Q50" s="10">
        <f t="shared" si="34"/>
        <v>4.0377887810112343</v>
      </c>
      <c r="R50" s="10">
        <f t="shared" si="34"/>
        <v>4.1592532914961726</v>
      </c>
      <c r="S50" s="10">
        <f t="shared" si="34"/>
        <v>4.3062153715595954</v>
      </c>
    </row>
    <row r="51" spans="1:22" s="10" customFormat="1" x14ac:dyDescent="0.2">
      <c r="A51" s="10" t="s">
        <v>5</v>
      </c>
      <c r="B51" s="10">
        <f t="shared" ref="B51" si="35">+B41/B47</f>
        <v>11.391383064614784</v>
      </c>
      <c r="C51" s="10">
        <f t="shared" ref="C51:D51" si="36">+C41/C47</f>
        <v>6.9211725767762129</v>
      </c>
      <c r="D51" s="10">
        <f t="shared" si="36"/>
        <v>4.6240601503759402</v>
      </c>
      <c r="E51" s="10">
        <f t="shared" ref="E51:F51" si="37">+E41/E47</f>
        <v>4.1762589928057556</v>
      </c>
      <c r="F51" s="10">
        <f t="shared" si="37"/>
        <v>4.1984585741811173</v>
      </c>
      <c r="G51" s="10">
        <f t="shared" ref="G51" si="38">+G41/G47</f>
        <v>4.3746764881544893</v>
      </c>
      <c r="H51" s="10">
        <f t="shared" ref="H51:I51" si="39">+H41/H47</f>
        <v>4.6772311663312625</v>
      </c>
      <c r="I51" s="10">
        <f t="shared" si="39"/>
        <v>4.9344898878787058</v>
      </c>
      <c r="J51" s="10">
        <f t="shared" ref="J51:S51" si="40">+J41/J47</f>
        <v>4.9224995604350443</v>
      </c>
      <c r="K51" s="10">
        <f t="shared" si="40"/>
        <v>5.0634829660162488</v>
      </c>
      <c r="L51" s="10">
        <f t="shared" si="40"/>
        <v>5.2082163206919807</v>
      </c>
      <c r="M51" s="10">
        <f t="shared" si="40"/>
        <v>4.8922969266491645</v>
      </c>
      <c r="N51" s="10">
        <f t="shared" si="40"/>
        <v>4.9633352145854301</v>
      </c>
      <c r="O51" s="10">
        <f t="shared" si="40"/>
        <v>5.0006195509375377</v>
      </c>
      <c r="P51" s="10">
        <f t="shared" si="40"/>
        <v>5.0656489629322801</v>
      </c>
      <c r="Q51" s="10">
        <f t="shared" si="40"/>
        <v>5.2059391604504146</v>
      </c>
      <c r="R51" s="10">
        <f t="shared" si="40"/>
        <v>5.3589638942480962</v>
      </c>
      <c r="S51" s="10">
        <f t="shared" si="40"/>
        <v>5.6935969514732641</v>
      </c>
    </row>
    <row r="52" spans="1:22" s="10" customFormat="1" x14ac:dyDescent="0.2">
      <c r="A52" s="10" t="s">
        <v>4</v>
      </c>
      <c r="B52" s="10">
        <f t="shared" ref="B52" si="41">+(B41-B44)/B47</f>
        <v>11.195375920534341</v>
      </c>
      <c r="C52" s="10">
        <f t="shared" ref="C52:D52" si="42">+(C41-C44)/C47</f>
        <v>6.6550623644973435</v>
      </c>
      <c r="D52" s="10">
        <f t="shared" si="42"/>
        <v>3.9375169172932329</v>
      </c>
      <c r="E52" s="10">
        <f t="shared" ref="E52:F52" si="43">+(E41-E44)/E47</f>
        <v>4.0900161870503595</v>
      </c>
      <c r="F52" s="10">
        <f t="shared" si="43"/>
        <v>3.8445722543352603</v>
      </c>
      <c r="G52" s="10">
        <f t="shared" ref="G52" si="44">+(G41-G44)/G47</f>
        <v>4</v>
      </c>
      <c r="H52" s="10">
        <f t="shared" ref="H52:I52" si="45">+(H41-H44)/H47</f>
        <v>4.507218479307026</v>
      </c>
      <c r="I52" s="10">
        <f t="shared" si="45"/>
        <v>4.8604425654482624</v>
      </c>
      <c r="J52" s="10">
        <f t="shared" ref="J52:S52" si="46">+(J41-J44)/J47</f>
        <v>4.8369430940349334</v>
      </c>
      <c r="K52" s="10">
        <f t="shared" si="46"/>
        <v>4.8703063847904753</v>
      </c>
      <c r="L52" s="10">
        <f t="shared" si="46"/>
        <v>4.8135994603464685</v>
      </c>
      <c r="M52" s="10">
        <f t="shared" si="46"/>
        <v>4.7902653979501206</v>
      </c>
      <c r="N52" s="10">
        <f t="shared" si="46"/>
        <v>4.8750325129438323</v>
      </c>
      <c r="O52" s="10">
        <f t="shared" si="46"/>
        <v>4.9374601894979904</v>
      </c>
      <c r="P52" s="10">
        <f t="shared" si="46"/>
        <v>4.8191269031430268</v>
      </c>
      <c r="Q52" s="10">
        <f t="shared" si="46"/>
        <v>4.8843169448358781</v>
      </c>
      <c r="R52" s="10">
        <f t="shared" si="46"/>
        <v>5.1684890919498798</v>
      </c>
      <c r="S52" s="10">
        <f t="shared" si="46"/>
        <v>5.4763078228655822</v>
      </c>
    </row>
    <row r="53" spans="1:22" s="6" customFormat="1" x14ac:dyDescent="0.2">
      <c r="A53" s="6" t="s">
        <v>3</v>
      </c>
      <c r="B53" s="6">
        <f t="shared" ref="B53" si="47">+B48/B41</f>
        <v>-0.17593685567010309</v>
      </c>
      <c r="C53" s="6">
        <f t="shared" ref="C53:D53" si="48">+C48/C41</f>
        <v>-0.16517521367521368</v>
      </c>
      <c r="D53" s="6">
        <f t="shared" si="48"/>
        <v>-0.10857804878048782</v>
      </c>
      <c r="E53" s="6">
        <f t="shared" ref="E53:F53" si="49">+E48/E41</f>
        <v>-0.11425452196382431</v>
      </c>
      <c r="F53" s="6">
        <f t="shared" si="49"/>
        <v>-0.10337631941257461</v>
      </c>
      <c r="G53" s="6">
        <f t="shared" ref="G53" si="50">+G48/G41</f>
        <v>-0.10081368890506964</v>
      </c>
      <c r="H53" s="6">
        <f t="shared" ref="H53:I53" si="51">+H48/H41</f>
        <v>-0.12670589825384676</v>
      </c>
      <c r="I53" s="6">
        <f t="shared" si="51"/>
        <v>-0.12024958347545754</v>
      </c>
      <c r="J53" s="6">
        <f t="shared" ref="J53:S53" si="52">+J48/J41</f>
        <v>-0.11340593071936356</v>
      </c>
      <c r="K53" s="6">
        <f t="shared" si="52"/>
        <v>-9.7369255091980467E-2</v>
      </c>
      <c r="L53" s="6">
        <f t="shared" si="52"/>
        <v>-9.9765119135212216E-2</v>
      </c>
      <c r="M53" s="6">
        <f t="shared" si="52"/>
        <v>-9.1917243973041476E-2</v>
      </c>
      <c r="N53" s="6">
        <f t="shared" si="52"/>
        <v>-7.9354508905882595E-2</v>
      </c>
      <c r="O53" s="6">
        <f t="shared" si="52"/>
        <v>-8.120435731668664E-2</v>
      </c>
      <c r="P53" s="6">
        <f t="shared" si="52"/>
        <v>-3.3650077881464617E-2</v>
      </c>
      <c r="Q53" s="6">
        <f t="shared" si="52"/>
        <v>-1.7958968383692847E-2</v>
      </c>
      <c r="R53" s="6">
        <f t="shared" si="52"/>
        <v>-1.2464084900575153E-2</v>
      </c>
      <c r="S53" s="6">
        <f t="shared" si="52"/>
        <v>-3.4566524687713186E-2</v>
      </c>
    </row>
    <row r="54" spans="1:22" s="6" customFormat="1" x14ac:dyDescent="0.2">
      <c r="A54" s="8" t="s">
        <v>2</v>
      </c>
      <c r="B54" s="9"/>
      <c r="C54" s="9"/>
      <c r="D54" s="9"/>
      <c r="E54" s="9"/>
      <c r="F54" s="9"/>
      <c r="G54" s="9"/>
      <c r="H54" s="9"/>
      <c r="I54" s="9"/>
      <c r="J54" s="9"/>
      <c r="K54" s="9"/>
      <c r="L54" s="9"/>
      <c r="M54" s="9"/>
      <c r="N54" s="9"/>
      <c r="O54" s="9"/>
      <c r="P54" s="9"/>
      <c r="Q54" s="9"/>
      <c r="R54" s="9"/>
      <c r="S54" s="9"/>
      <c r="T54" s="8"/>
      <c r="U54" s="8"/>
      <c r="V54" s="8"/>
    </row>
    <row r="55" spans="1:22" s="6" customFormat="1" x14ac:dyDescent="0.2">
      <c r="A55" s="6" t="s">
        <v>1</v>
      </c>
      <c r="B55" s="7">
        <f t="shared" ref="B55" si="53">IF(B42=0,IF(B54="","","*"&amp;TEXT(B54,"0.0x")),(B41+B42-B44)/B47)</f>
        <v>19.650835514887582</v>
      </c>
      <c r="C55" s="7">
        <f t="shared" ref="C55:D55" si="54">IF(C42=0,IF(C54="","","*"&amp;TEXT(C54,"0.0x")),(C41+C42-C44)/C47)</f>
        <v>11.766082113501316</v>
      </c>
      <c r="D55" s="7">
        <f t="shared" si="54"/>
        <v>7.1856372180451125</v>
      </c>
      <c r="E55" s="7">
        <f t="shared" ref="E55:F55" si="55">IF(E42=0,IF(E54="","","*"&amp;TEXT(E54,"0.0x")),(E41+E42-E44)/E47)</f>
        <v>7.1979298561151079</v>
      </c>
      <c r="F55" s="7">
        <f t="shared" si="55"/>
        <v>7.1740520231213871</v>
      </c>
      <c r="G55" s="7">
        <f t="shared" ref="G55" si="56">IF(G42=0,IF(G54="","","*"&amp;TEXT(G54,"0.0x")),(G41+G42-G44)/G47)</f>
        <v>7.4401751941071073</v>
      </c>
      <c r="H55" s="7">
        <f t="shared" ref="H55:I55" si="57">IF(H42=0,IF(H54="","","*"&amp;TEXT(H54,"0.0x")),(H41+H42-H44)/H47)</f>
        <v>7.3399247528217684</v>
      </c>
      <c r="I55" s="7">
        <f t="shared" si="57"/>
        <v>7.7209050105583072</v>
      </c>
      <c r="J55" s="7">
        <f t="shared" ref="J55:S55" si="58">IF(J42=0,IF(J54="","","*"&amp;TEXT(J54,"0.0x")),(J41+J42-J44)/J47)</f>
        <v>7.7940164363041848</v>
      </c>
      <c r="K55" s="7">
        <f t="shared" si="58"/>
        <v>7.8997658309725383</v>
      </c>
      <c r="L55" s="7">
        <f t="shared" si="58"/>
        <v>7.9113446845562452</v>
      </c>
      <c r="M55" s="7">
        <f t="shared" si="58"/>
        <v>7.9587944419841108</v>
      </c>
      <c r="N55" s="7">
        <f t="shared" si="58"/>
        <v>8.0527126837288066</v>
      </c>
      <c r="O55" s="7">
        <f t="shared" si="58"/>
        <v>8.1596226959671974</v>
      </c>
      <c r="P55" s="7">
        <f t="shared" si="58"/>
        <v>8.0899566583485729</v>
      </c>
      <c r="Q55" s="7">
        <f t="shared" si="58"/>
        <v>8.2326899458313392</v>
      </c>
      <c r="R55" s="7">
        <f t="shared" si="58"/>
        <v>8.6004436364407297</v>
      </c>
      <c r="S55" s="7">
        <f t="shared" si="58"/>
        <v>8.998650901801426</v>
      </c>
      <c r="T55" s="7" t="str">
        <f>IF(T42=0,IF(T54="","",CONCATENATE("* ",T54,"x")),(T41+T42-T44)/T47)</f>
        <v/>
      </c>
      <c r="U55" s="7" t="str">
        <f>IF(U42=0,IF(U54="","",CONCATENATE("* ",U54,"x")),(U41+U42-U44)/U47)</f>
        <v/>
      </c>
      <c r="V55" s="7" t="str">
        <f>IF(V42=0,IF(V54="","",CONCATENATE("* ",V54,"x")),(V41+V42-V44)/V47)</f>
        <v/>
      </c>
    </row>
    <row r="56" spans="1:22" x14ac:dyDescent="0.2">
      <c r="S56" s="3"/>
    </row>
    <row r="57" spans="1:22" ht="80.25" customHeight="1" x14ac:dyDescent="0.2">
      <c r="A57" s="5" t="s">
        <v>0</v>
      </c>
      <c r="B57" s="4" t="s">
        <v>235</v>
      </c>
      <c r="C57" s="4" t="s">
        <v>235</v>
      </c>
      <c r="D57" s="4" t="s">
        <v>235</v>
      </c>
      <c r="E57" s="4" t="s">
        <v>235</v>
      </c>
      <c r="F57" s="4" t="s">
        <v>235</v>
      </c>
      <c r="G57" s="4" t="s">
        <v>235</v>
      </c>
      <c r="H57" s="4" t="s">
        <v>235</v>
      </c>
      <c r="I57" s="4" t="s">
        <v>235</v>
      </c>
      <c r="J57" s="4" t="s">
        <v>235</v>
      </c>
      <c r="K57" s="4"/>
      <c r="L57" s="4"/>
      <c r="M57" s="4"/>
      <c r="N57" s="4"/>
      <c r="O57" s="4"/>
      <c r="P57" s="4"/>
      <c r="Q57" s="4"/>
      <c r="R57" s="4"/>
      <c r="S57" s="4"/>
      <c r="T57" s="4"/>
      <c r="U57" s="4"/>
      <c r="V57" s="4"/>
    </row>
    <row r="58" spans="1:22" x14ac:dyDescent="0.2">
      <c r="A58" s="2"/>
      <c r="B58" s="3"/>
      <c r="C58" s="3"/>
      <c r="D58" s="3"/>
      <c r="E58" s="3"/>
      <c r="F58" s="3"/>
      <c r="G58" s="3"/>
      <c r="H58" s="3"/>
      <c r="I58" s="3"/>
      <c r="J58" s="3"/>
      <c r="K58" s="3"/>
      <c r="L58" s="3"/>
      <c r="M58" s="3"/>
      <c r="N58" s="3"/>
      <c r="O58" s="3"/>
    </row>
    <row r="59" spans="1:22" x14ac:dyDescent="0.2">
      <c r="A59" s="2"/>
    </row>
  </sheetData>
  <pageMargins left="0.7" right="0.7" top="0.75" bottom="0.75" header="0.3" footer="0.3"/>
  <pageSetup orientation="portrait" r:id="rId1"/>
  <ignoredErrors>
    <ignoredError sqref="R46:T48" formulaRange="1"/>
  </ignoredError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M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3" width="10.7109375" style="1" customWidth="1"/>
    <col min="14" max="16384" width="9.140625" style="1"/>
  </cols>
  <sheetData>
    <row r="2" spans="1:13" x14ac:dyDescent="0.2">
      <c r="A2" s="34" t="s">
        <v>45</v>
      </c>
      <c r="B2" s="1" t="s">
        <v>99</v>
      </c>
    </row>
    <row r="3" spans="1:13" s="35" customFormat="1" x14ac:dyDescent="0.2">
      <c r="A3" s="36" t="s">
        <v>43</v>
      </c>
      <c r="B3" s="35" t="s">
        <v>132</v>
      </c>
    </row>
    <row r="4" spans="1:13" x14ac:dyDescent="0.2">
      <c r="A4" s="34" t="s">
        <v>41</v>
      </c>
      <c r="B4" s="1" t="s">
        <v>40</v>
      </c>
    </row>
    <row r="5" spans="1:13" x14ac:dyDescent="0.2">
      <c r="A5" s="34" t="s">
        <v>39</v>
      </c>
    </row>
    <row r="6" spans="1:13" x14ac:dyDescent="0.2">
      <c r="A6" s="34" t="s">
        <v>38</v>
      </c>
      <c r="B6" s="1">
        <v>3</v>
      </c>
    </row>
    <row r="7" spans="1:13" x14ac:dyDescent="0.2">
      <c r="A7" s="34" t="s">
        <v>37</v>
      </c>
      <c r="B7" s="1" t="e">
        <v>#N/A</v>
      </c>
    </row>
    <row r="8" spans="1:13" x14ac:dyDescent="0.2">
      <c r="A8" s="34" t="s">
        <v>281</v>
      </c>
      <c r="B8" s="1" t="s">
        <v>307</v>
      </c>
    </row>
    <row r="9" spans="1:13" x14ac:dyDescent="0.2">
      <c r="A9" s="22"/>
    </row>
    <row r="10" spans="1:13" x14ac:dyDescent="0.2">
      <c r="A10" s="22" t="s">
        <v>36</v>
      </c>
      <c r="B10" s="33">
        <v>43465</v>
      </c>
      <c r="C10" s="33">
        <v>43373</v>
      </c>
      <c r="D10" s="33">
        <v>43281</v>
      </c>
      <c r="E10" s="33">
        <v>43190</v>
      </c>
      <c r="F10" s="33">
        <v>43100</v>
      </c>
      <c r="G10" s="33">
        <f t="shared" ref="G10:M10" si="0">EOMONTH(F10,-3)</f>
        <v>43008</v>
      </c>
      <c r="H10" s="33">
        <f t="shared" si="0"/>
        <v>42916</v>
      </c>
      <c r="I10" s="33">
        <f t="shared" si="0"/>
        <v>42825</v>
      </c>
      <c r="J10" s="33">
        <f t="shared" si="0"/>
        <v>42735</v>
      </c>
      <c r="K10" s="33">
        <f t="shared" si="0"/>
        <v>42643</v>
      </c>
      <c r="L10" s="33">
        <f t="shared" si="0"/>
        <v>42551</v>
      </c>
      <c r="M10" s="33">
        <f t="shared" si="0"/>
        <v>42460</v>
      </c>
    </row>
    <row r="12" spans="1:13" x14ac:dyDescent="0.2">
      <c r="A12" s="15" t="s">
        <v>35</v>
      </c>
      <c r="B12" s="19">
        <f>1330.4-C12-D12-E12</f>
        <v>334.24700000000013</v>
      </c>
      <c r="C12" s="19">
        <v>295.50299999999999</v>
      </c>
      <c r="D12" s="19">
        <v>363.79300000000001</v>
      </c>
      <c r="E12" s="19">
        <v>336.85700000000003</v>
      </c>
      <c r="F12" s="19">
        <f>1176.4-G12-H12-I12</f>
        <v>297.36500000000018</v>
      </c>
      <c r="G12" s="19">
        <v>270.69299999999998</v>
      </c>
      <c r="H12" s="19">
        <v>317.20400000000001</v>
      </c>
      <c r="I12" s="19">
        <v>291.13799999999998</v>
      </c>
      <c r="J12" s="19"/>
      <c r="K12" s="19"/>
      <c r="L12" s="19"/>
      <c r="M12" s="19"/>
    </row>
    <row r="13" spans="1:13" s="28" customFormat="1" x14ac:dyDescent="0.2">
      <c r="A13" s="28" t="s">
        <v>34</v>
      </c>
      <c r="B13" s="28">
        <f>+B12/F12-1</f>
        <v>0.12402939148857439</v>
      </c>
      <c r="C13" s="28">
        <f>+C12/G12-1</f>
        <v>9.1653644534583467E-2</v>
      </c>
      <c r="D13" s="28">
        <f>+D12/H12-1</f>
        <v>0.14687393601593923</v>
      </c>
      <c r="E13" s="28">
        <f>+E12/I12-1</f>
        <v>0.15703549519471882</v>
      </c>
    </row>
    <row r="14" spans="1:13" s="23" customFormat="1" x14ac:dyDescent="0.2">
      <c r="A14" s="31" t="s">
        <v>33</v>
      </c>
      <c r="B14" s="32" t="s">
        <v>32</v>
      </c>
      <c r="C14" s="32" t="s">
        <v>32</v>
      </c>
      <c r="D14" s="32" t="s">
        <v>32</v>
      </c>
      <c r="E14" s="32" t="s">
        <v>32</v>
      </c>
      <c r="F14" s="32"/>
      <c r="G14" s="32"/>
      <c r="H14" s="32"/>
      <c r="I14" s="32"/>
      <c r="J14" s="31"/>
      <c r="K14" s="31"/>
      <c r="L14" s="31"/>
      <c r="M14" s="31"/>
    </row>
    <row r="15" spans="1:13" x14ac:dyDescent="0.2">
      <c r="B15" s="56"/>
      <c r="C15" s="56"/>
      <c r="D15" s="56"/>
    </row>
    <row r="16" spans="1:13" s="22" customFormat="1" x14ac:dyDescent="0.2">
      <c r="A16" s="30" t="s">
        <v>31</v>
      </c>
      <c r="B16" s="29">
        <v>18.628</v>
      </c>
      <c r="C16" s="29">
        <v>19.152000000000001</v>
      </c>
      <c r="D16" s="29">
        <v>50.826999999999998</v>
      </c>
      <c r="E16" s="29">
        <v>17.411000000000001</v>
      </c>
      <c r="F16" s="29">
        <v>14.542999999999999</v>
      </c>
      <c r="G16" s="29">
        <v>18.532</v>
      </c>
      <c r="H16" s="29">
        <v>44.279000000000003</v>
      </c>
      <c r="I16" s="29">
        <v>17.338999999999999</v>
      </c>
      <c r="J16" s="29"/>
      <c r="K16" s="29"/>
      <c r="L16" s="29"/>
      <c r="M16" s="29"/>
    </row>
    <row r="17" spans="1:13" s="28" customFormat="1" x14ac:dyDescent="0.2">
      <c r="A17" s="28" t="s">
        <v>30</v>
      </c>
      <c r="B17" s="28">
        <f t="shared" ref="B17:I17" si="1">+B16/B12</f>
        <v>5.573124066932536E-2</v>
      </c>
      <c r="C17" s="28">
        <f t="shared" si="1"/>
        <v>6.481152475609385E-2</v>
      </c>
      <c r="D17" s="28">
        <f t="shared" si="1"/>
        <v>0.13971406816513787</v>
      </c>
      <c r="E17" s="28">
        <f t="shared" si="1"/>
        <v>5.1686620732239494E-2</v>
      </c>
      <c r="F17" s="28">
        <f t="shared" si="1"/>
        <v>4.8906226354816437E-2</v>
      </c>
      <c r="G17" s="28">
        <f t="shared" si="1"/>
        <v>6.8461319649935543E-2</v>
      </c>
      <c r="H17" s="28">
        <f t="shared" si="1"/>
        <v>0.13959155622249406</v>
      </c>
      <c r="I17" s="28">
        <f t="shared" si="1"/>
        <v>5.9555949412306193E-2</v>
      </c>
    </row>
    <row r="18" spans="1:13" s="23" customFormat="1" x14ac:dyDescent="0.2"/>
    <row r="19" spans="1:13" s="23" customFormat="1" x14ac:dyDescent="0.2">
      <c r="A19" s="15" t="s">
        <v>29</v>
      </c>
      <c r="B19" s="19">
        <v>0</v>
      </c>
      <c r="C19" s="19">
        <v>0</v>
      </c>
      <c r="D19" s="19">
        <v>0</v>
      </c>
      <c r="E19" s="19">
        <v>0</v>
      </c>
      <c r="F19" s="19">
        <v>0</v>
      </c>
      <c r="G19" s="19">
        <v>0</v>
      </c>
      <c r="H19" s="19">
        <v>0</v>
      </c>
      <c r="I19" s="19">
        <v>0</v>
      </c>
      <c r="J19" s="19"/>
      <c r="K19" s="19"/>
      <c r="L19" s="19"/>
      <c r="M19" s="19"/>
    </row>
    <row r="20" spans="1:13" s="23" customFormat="1" x14ac:dyDescent="0.2">
      <c r="A20" s="15" t="s">
        <v>28</v>
      </c>
      <c r="B20" s="19">
        <v>0</v>
      </c>
      <c r="C20" s="19">
        <v>0</v>
      </c>
      <c r="D20" s="19">
        <v>0</v>
      </c>
      <c r="E20" s="19">
        <v>0</v>
      </c>
      <c r="F20" s="19">
        <v>0</v>
      </c>
      <c r="G20" s="19">
        <v>0</v>
      </c>
      <c r="H20" s="19">
        <v>0</v>
      </c>
      <c r="I20" s="19">
        <v>0</v>
      </c>
      <c r="J20" s="19"/>
      <c r="K20" s="19"/>
      <c r="L20" s="19"/>
      <c r="M20" s="19"/>
    </row>
    <row r="21" spans="1:13" s="23" customFormat="1" x14ac:dyDescent="0.2">
      <c r="A21" s="15" t="s">
        <v>18</v>
      </c>
      <c r="B21" s="19">
        <v>0</v>
      </c>
      <c r="C21" s="19">
        <v>0</v>
      </c>
      <c r="D21" s="19">
        <v>0</v>
      </c>
      <c r="E21" s="19">
        <v>0</v>
      </c>
      <c r="F21" s="19">
        <v>0</v>
      </c>
      <c r="G21" s="19">
        <v>0</v>
      </c>
      <c r="H21" s="19">
        <v>0</v>
      </c>
      <c r="I21" s="19">
        <v>0</v>
      </c>
      <c r="J21" s="19"/>
      <c r="K21" s="19"/>
      <c r="L21" s="19"/>
      <c r="M21" s="19"/>
    </row>
    <row r="22" spans="1:13" s="22" customFormat="1" x14ac:dyDescent="0.2">
      <c r="A22" s="22" t="s">
        <v>23</v>
      </c>
      <c r="B22" s="20">
        <f t="shared" ref="B22:I22" si="2">SUM(B16,B19:B21)</f>
        <v>18.628</v>
      </c>
      <c r="C22" s="20">
        <f t="shared" si="2"/>
        <v>19.152000000000001</v>
      </c>
      <c r="D22" s="20">
        <f t="shared" si="2"/>
        <v>50.826999999999998</v>
      </c>
      <c r="E22" s="20">
        <f t="shared" si="2"/>
        <v>17.411000000000001</v>
      </c>
      <c r="F22" s="20">
        <f t="shared" si="2"/>
        <v>14.542999999999999</v>
      </c>
      <c r="G22" s="20">
        <f t="shared" si="2"/>
        <v>18.532</v>
      </c>
      <c r="H22" s="20">
        <f t="shared" si="2"/>
        <v>44.279000000000003</v>
      </c>
      <c r="I22" s="20">
        <f t="shared" si="2"/>
        <v>17.338999999999999</v>
      </c>
      <c r="J22" s="20"/>
      <c r="K22" s="20"/>
      <c r="L22" s="20"/>
      <c r="M22" s="20"/>
    </row>
    <row r="23" spans="1:13" s="22" customFormat="1" x14ac:dyDescent="0.2">
      <c r="B23" s="20"/>
      <c r="C23" s="20"/>
      <c r="D23" s="20"/>
      <c r="E23" s="20"/>
      <c r="F23" s="20"/>
      <c r="G23" s="20"/>
      <c r="H23" s="20"/>
      <c r="I23" s="20"/>
      <c r="J23" s="20"/>
      <c r="K23" s="20"/>
      <c r="L23" s="20"/>
      <c r="M23" s="20"/>
    </row>
    <row r="24" spans="1:13" s="22" customFormat="1" x14ac:dyDescent="0.2">
      <c r="A24" s="22" t="s">
        <v>27</v>
      </c>
      <c r="B24" s="63">
        <f>108.391</f>
        <v>108.39100000000001</v>
      </c>
      <c r="C24" s="63">
        <f>SUM(C22:F22)</f>
        <v>101.93299999999999</v>
      </c>
      <c r="D24" s="63">
        <f>SUM(D22:G22)</f>
        <v>101.313</v>
      </c>
      <c r="E24" s="63">
        <f>SUM(E22:H22)</f>
        <v>94.765000000000015</v>
      </c>
      <c r="F24" s="63">
        <f>SUM(F22:I22)</f>
        <v>94.693000000000012</v>
      </c>
      <c r="G24" s="20"/>
      <c r="H24" s="20"/>
      <c r="I24" s="20"/>
      <c r="J24" s="20"/>
      <c r="K24" s="20"/>
      <c r="L24" s="20"/>
      <c r="M24" s="20"/>
    </row>
    <row r="25" spans="1:13" s="23" customFormat="1" x14ac:dyDescent="0.2">
      <c r="A25" s="15" t="s">
        <v>26</v>
      </c>
      <c r="B25" s="27">
        <v>0</v>
      </c>
      <c r="C25" s="27">
        <f>104.308-C24</f>
        <v>2.3750000000000142</v>
      </c>
      <c r="D25" s="27">
        <f>100.719-D24</f>
        <v>-0.5940000000000083</v>
      </c>
      <c r="E25" s="27">
        <f>95.473-E24</f>
        <v>0.7079999999999842</v>
      </c>
      <c r="F25" s="27">
        <f>94.457-F24</f>
        <v>-0.23600000000001842</v>
      </c>
      <c r="G25" s="27"/>
      <c r="H25" s="27"/>
      <c r="I25" s="27"/>
      <c r="J25" s="27"/>
      <c r="K25" s="27"/>
      <c r="L25" s="27"/>
      <c r="M25" s="27"/>
    </row>
    <row r="26" spans="1:13" s="23" customFormat="1" x14ac:dyDescent="0.2">
      <c r="A26" s="15" t="s">
        <v>25</v>
      </c>
      <c r="B26" s="21">
        <v>0</v>
      </c>
      <c r="C26" s="21">
        <v>0</v>
      </c>
      <c r="D26" s="21">
        <v>0</v>
      </c>
      <c r="E26" s="21">
        <v>0</v>
      </c>
      <c r="F26" s="21">
        <v>0</v>
      </c>
      <c r="G26" s="21"/>
      <c r="H26" s="21"/>
      <c r="I26" s="21"/>
      <c r="J26" s="21"/>
      <c r="K26" s="26"/>
      <c r="L26" s="26"/>
      <c r="M26" s="26"/>
    </row>
    <row r="27" spans="1:13" s="24" customFormat="1" x14ac:dyDescent="0.2">
      <c r="A27" s="22" t="s">
        <v>24</v>
      </c>
      <c r="B27" s="20">
        <f>B24+B25+B26</f>
        <v>108.39100000000001</v>
      </c>
      <c r="C27" s="20">
        <f>C24+C25+C26</f>
        <v>104.30800000000001</v>
      </c>
      <c r="D27" s="20">
        <f>D24+D25+D26</f>
        <v>100.71899999999999</v>
      </c>
      <c r="E27" s="20">
        <f>E24+E25+E26</f>
        <v>95.472999999999999</v>
      </c>
      <c r="F27" s="20">
        <f>F24+F25+F26</f>
        <v>94.456999999999994</v>
      </c>
      <c r="G27" s="20"/>
      <c r="H27" s="20"/>
      <c r="I27" s="20"/>
      <c r="J27" s="20"/>
      <c r="K27" s="25"/>
      <c r="L27" s="25"/>
      <c r="M27" s="25"/>
    </row>
    <row r="28" spans="1:13" s="23" customFormat="1" x14ac:dyDescent="0.2"/>
    <row r="29" spans="1:13" s="22" customFormat="1" x14ac:dyDescent="0.2">
      <c r="A29" s="22" t="s">
        <v>23</v>
      </c>
      <c r="B29" s="20">
        <f t="shared" ref="B29:I29" si="3">B22</f>
        <v>18.628</v>
      </c>
      <c r="C29" s="20">
        <f t="shared" si="3"/>
        <v>19.152000000000001</v>
      </c>
      <c r="D29" s="20">
        <f t="shared" si="3"/>
        <v>50.826999999999998</v>
      </c>
      <c r="E29" s="20">
        <f t="shared" si="3"/>
        <v>17.411000000000001</v>
      </c>
      <c r="F29" s="20">
        <f t="shared" si="3"/>
        <v>14.542999999999999</v>
      </c>
      <c r="G29" s="20">
        <f t="shared" si="3"/>
        <v>18.532</v>
      </c>
      <c r="H29" s="20">
        <f t="shared" si="3"/>
        <v>44.279000000000003</v>
      </c>
      <c r="I29" s="20">
        <f t="shared" si="3"/>
        <v>17.338999999999999</v>
      </c>
      <c r="J29" s="20"/>
      <c r="K29" s="20"/>
      <c r="L29" s="20"/>
      <c r="M29" s="20"/>
    </row>
    <row r="30" spans="1:13" s="11" customFormat="1" x14ac:dyDescent="0.2">
      <c r="A30" s="19" t="s">
        <v>22</v>
      </c>
      <c r="B30" s="19">
        <f>-21.335-C30-D30-E30</f>
        <v>-8.468</v>
      </c>
      <c r="C30" s="19">
        <v>-4.2649999999999997</v>
      </c>
      <c r="D30" s="19">
        <v>-3.81</v>
      </c>
      <c r="E30" s="19">
        <v>-4.7919999999999998</v>
      </c>
      <c r="F30" s="19">
        <f>-16.85-G30-H30-I30</f>
        <v>-5.1459999999999999</v>
      </c>
      <c r="G30" s="19">
        <v>-4.28</v>
      </c>
      <c r="H30" s="19">
        <v>-3.746</v>
      </c>
      <c r="I30" s="19">
        <v>-3.6779999999999999</v>
      </c>
      <c r="J30" s="19"/>
      <c r="K30" s="19"/>
      <c r="L30" s="19"/>
      <c r="M30" s="19"/>
    </row>
    <row r="31" spans="1:13" s="11" customFormat="1" x14ac:dyDescent="0.2">
      <c r="A31" s="19" t="s">
        <v>21</v>
      </c>
      <c r="B31" s="19">
        <f>-3.766-C31-D31-E31</f>
        <v>-2.0940000000000003</v>
      </c>
      <c r="C31" s="19">
        <v>-1.6719999999999999</v>
      </c>
      <c r="D31" s="19">
        <v>0</v>
      </c>
      <c r="E31" s="19">
        <v>0</v>
      </c>
      <c r="F31" s="19">
        <f>-13.985-G31-H31-I31</f>
        <v>-1.6849999999999978</v>
      </c>
      <c r="G31" s="19">
        <v>-3.2480000000000002</v>
      </c>
      <c r="H31" s="19">
        <v>-5.7270000000000003</v>
      </c>
      <c r="I31" s="19">
        <v>-3.3250000000000002</v>
      </c>
      <c r="J31" s="19"/>
      <c r="K31" s="19"/>
      <c r="L31" s="19"/>
      <c r="M31" s="19"/>
    </row>
    <row r="32" spans="1:13" s="11" customFormat="1" x14ac:dyDescent="0.2">
      <c r="A32" s="19" t="s">
        <v>20</v>
      </c>
      <c r="B32" s="19">
        <f>-24.343-4.265-1.227+9.155-2.275-C32-D32-E32</f>
        <v>-15.695</v>
      </c>
      <c r="C32" s="19">
        <f>19.265-1.952-0.651-14.794</f>
        <v>1.8680000000000021</v>
      </c>
      <c r="D32" s="19">
        <f>-11.554+1.394+2.479+1.792</f>
        <v>-5.8890000000000002</v>
      </c>
      <c r="E32" s="19">
        <f>0.466+0.038+0.32-4.063</f>
        <v>-3.2389999999999999</v>
      </c>
      <c r="F32" s="19">
        <f>-21.579-2.138+1.274+7.89-2.27-G32-H32-I32</f>
        <v>-9.9969999999999999</v>
      </c>
      <c r="G32" s="19">
        <f>21.556+0.591+0.538-19.058</f>
        <v>3.6270000000000024</v>
      </c>
      <c r="H32" s="19">
        <f>-12.429+1.002+0.143-3.112</f>
        <v>-14.395999999999999</v>
      </c>
      <c r="I32" s="19">
        <f>-5.129+1.781+1.89+5.401</f>
        <v>3.9429999999999996</v>
      </c>
      <c r="J32" s="19"/>
      <c r="K32" s="19"/>
      <c r="L32" s="19"/>
      <c r="M32" s="19"/>
    </row>
    <row r="33" spans="1:13" s="11" customFormat="1" x14ac:dyDescent="0.2">
      <c r="A33" s="19" t="s">
        <v>19</v>
      </c>
      <c r="B33" s="27">
        <v>0</v>
      </c>
      <c r="C33" s="27">
        <v>0</v>
      </c>
      <c r="D33" s="27">
        <v>0</v>
      </c>
      <c r="E33" s="27">
        <v>0</v>
      </c>
      <c r="F33" s="19">
        <v>0</v>
      </c>
      <c r="G33" s="19">
        <v>0</v>
      </c>
      <c r="H33" s="19">
        <v>0</v>
      </c>
      <c r="I33" s="19">
        <v>0</v>
      </c>
      <c r="J33" s="19"/>
      <c r="K33" s="19"/>
      <c r="L33" s="19"/>
      <c r="M33" s="19"/>
    </row>
    <row r="34" spans="1:13" s="11" customFormat="1" x14ac:dyDescent="0.2">
      <c r="A34" s="19" t="s">
        <v>18</v>
      </c>
      <c r="B34" s="21">
        <v>0</v>
      </c>
      <c r="C34" s="21">
        <v>0</v>
      </c>
      <c r="D34" s="21">
        <v>0</v>
      </c>
      <c r="E34" s="21">
        <v>0</v>
      </c>
      <c r="F34" s="21">
        <v>0</v>
      </c>
      <c r="G34" s="21">
        <v>0</v>
      </c>
      <c r="H34" s="21">
        <v>0</v>
      </c>
      <c r="I34" s="21">
        <v>0</v>
      </c>
      <c r="J34" s="21"/>
      <c r="K34" s="21"/>
      <c r="L34" s="21"/>
      <c r="M34" s="21"/>
    </row>
    <row r="35" spans="1:13" s="20" customFormat="1" x14ac:dyDescent="0.2">
      <c r="A35" s="20" t="s">
        <v>17</v>
      </c>
      <c r="B35" s="20">
        <f>37.016-C35-D35-E35</f>
        <v>-17.778000000000002</v>
      </c>
      <c r="C35" s="20">
        <v>7.8330000000000002</v>
      </c>
      <c r="D35" s="20">
        <v>36.414000000000001</v>
      </c>
      <c r="E35" s="20">
        <v>10.547000000000001</v>
      </c>
      <c r="F35" s="20">
        <f>32.244-G35-H35-I35</f>
        <v>-4.5890000000000004</v>
      </c>
      <c r="G35" s="20">
        <v>8.2720000000000002</v>
      </c>
      <c r="H35" s="20">
        <v>16.379000000000001</v>
      </c>
      <c r="I35" s="20">
        <v>12.182</v>
      </c>
    </row>
    <row r="36" spans="1:13" s="11" customFormat="1" x14ac:dyDescent="0.2">
      <c r="A36" s="19" t="s">
        <v>16</v>
      </c>
      <c r="B36" s="21">
        <f>-49.599-C36-D36-E36</f>
        <v>-26.65</v>
      </c>
      <c r="C36" s="21">
        <v>-10.231999999999999</v>
      </c>
      <c r="D36" s="21">
        <v>-5.556</v>
      </c>
      <c r="E36" s="21">
        <v>-7.1609999999999996</v>
      </c>
      <c r="F36" s="21">
        <f>-15.929-G36-H36-I36</f>
        <v>-3.8360000000000003</v>
      </c>
      <c r="G36" s="21">
        <v>-5.0060000000000002</v>
      </c>
      <c r="H36" s="21">
        <v>-4.5839999999999996</v>
      </c>
      <c r="I36" s="21">
        <v>-2.5030000000000001</v>
      </c>
      <c r="J36" s="21"/>
      <c r="K36" s="21"/>
      <c r="L36" s="21"/>
      <c r="M36" s="21"/>
    </row>
    <row r="37" spans="1:13" s="20" customFormat="1" x14ac:dyDescent="0.2">
      <c r="A37" s="20" t="s">
        <v>15</v>
      </c>
      <c r="B37" s="20">
        <f t="shared" ref="B37:I37" si="4">+B35+B36</f>
        <v>-44.427999999999997</v>
      </c>
      <c r="C37" s="20">
        <f t="shared" si="4"/>
        <v>-2.3989999999999991</v>
      </c>
      <c r="D37" s="20">
        <f t="shared" si="4"/>
        <v>30.858000000000001</v>
      </c>
      <c r="E37" s="20">
        <f t="shared" si="4"/>
        <v>3.386000000000001</v>
      </c>
      <c r="F37" s="20">
        <f t="shared" si="4"/>
        <v>-8.4250000000000007</v>
      </c>
      <c r="G37" s="20">
        <f t="shared" si="4"/>
        <v>3.266</v>
      </c>
      <c r="H37" s="20">
        <f t="shared" si="4"/>
        <v>11.795000000000002</v>
      </c>
      <c r="I37" s="20">
        <f t="shared" si="4"/>
        <v>9.6790000000000003</v>
      </c>
    </row>
    <row r="39" spans="1:13" s="16" customFormat="1" x14ac:dyDescent="0.2">
      <c r="A39" s="18" t="s">
        <v>14</v>
      </c>
      <c r="B39" s="19">
        <v>10</v>
      </c>
      <c r="C39" s="19">
        <v>16.722999999999999</v>
      </c>
      <c r="D39" s="19">
        <v>19.216000000000001</v>
      </c>
      <c r="E39" s="19">
        <v>10</v>
      </c>
      <c r="F39" s="19">
        <v>27</v>
      </c>
      <c r="G39" s="19"/>
      <c r="H39" s="19"/>
      <c r="I39" s="19"/>
      <c r="J39" s="19"/>
      <c r="K39" s="19"/>
      <c r="L39" s="19"/>
      <c r="M39" s="19"/>
    </row>
    <row r="40" spans="1:13" s="16" customFormat="1" x14ac:dyDescent="0.2">
      <c r="A40" s="18" t="s">
        <v>13</v>
      </c>
      <c r="B40" s="19">
        <f>398.25+9.497+2.364+2.255</f>
        <v>412.36599999999999</v>
      </c>
      <c r="C40" s="19">
        <f>349.125+10.28+1.95+2.375</f>
        <v>363.72999999999996</v>
      </c>
      <c r="D40" s="19">
        <f>350+10.363+2.324+2.278</f>
        <v>364.96500000000003</v>
      </c>
      <c r="E40" s="19">
        <f>350+22.75+2.215+2.327</f>
        <v>377.29199999999997</v>
      </c>
      <c r="F40" s="19">
        <f>23+330+2+2</f>
        <v>357</v>
      </c>
      <c r="G40" s="19"/>
      <c r="H40" s="19"/>
      <c r="I40" s="19"/>
      <c r="J40" s="19"/>
      <c r="K40" s="19"/>
      <c r="L40" s="19"/>
      <c r="M40" s="19"/>
    </row>
    <row r="41" spans="1:13" s="16" customFormat="1" x14ac:dyDescent="0.2">
      <c r="A41" s="18" t="s">
        <v>12</v>
      </c>
      <c r="B41" s="19">
        <f>B39+B40</f>
        <v>422.36599999999999</v>
      </c>
      <c r="C41" s="19">
        <f>C39+C40</f>
        <v>380.45299999999997</v>
      </c>
      <c r="D41" s="19">
        <f>D39+D40</f>
        <v>384.18100000000004</v>
      </c>
      <c r="E41" s="19">
        <f>E39+E40</f>
        <v>387.29199999999997</v>
      </c>
      <c r="F41" s="19">
        <f>F39+F40</f>
        <v>384</v>
      </c>
      <c r="G41" s="19"/>
      <c r="H41" s="19"/>
      <c r="I41" s="19"/>
      <c r="J41" s="19"/>
      <c r="K41" s="19"/>
      <c r="L41" s="19"/>
      <c r="M41" s="19"/>
    </row>
    <row r="42" spans="1:13" s="16" customFormat="1" x14ac:dyDescent="0.2">
      <c r="A42" s="18" t="s">
        <v>11</v>
      </c>
      <c r="B42" s="17"/>
      <c r="C42" s="17"/>
      <c r="D42" s="17"/>
      <c r="E42" s="17"/>
      <c r="F42" s="17"/>
      <c r="G42" s="17"/>
      <c r="H42" s="17"/>
      <c r="I42" s="17"/>
      <c r="J42" s="17"/>
      <c r="K42" s="17"/>
      <c r="L42" s="17"/>
      <c r="M42" s="17"/>
    </row>
    <row r="43" spans="1:13" x14ac:dyDescent="0.2">
      <c r="B43" s="16"/>
      <c r="C43" s="16"/>
      <c r="D43" s="16"/>
      <c r="E43" s="16"/>
      <c r="F43" s="16"/>
      <c r="G43" s="16"/>
      <c r="H43" s="16"/>
    </row>
    <row r="44" spans="1:13" x14ac:dyDescent="0.2">
      <c r="A44" s="15" t="s">
        <v>10</v>
      </c>
      <c r="B44" s="27">
        <v>18.911000000000001</v>
      </c>
      <c r="C44" s="27">
        <v>8.4510000000000005</v>
      </c>
      <c r="D44" s="27">
        <v>22.021999999999998</v>
      </c>
      <c r="E44" s="27">
        <v>13.199</v>
      </c>
      <c r="F44" s="27">
        <v>4</v>
      </c>
      <c r="G44" s="27"/>
      <c r="H44" s="27"/>
      <c r="I44" s="27"/>
      <c r="J44" s="27"/>
      <c r="K44" s="27"/>
      <c r="L44" s="14"/>
      <c r="M44" s="14"/>
    </row>
    <row r="46" spans="1:13" x14ac:dyDescent="0.2">
      <c r="A46" s="1" t="s">
        <v>9</v>
      </c>
      <c r="B46" s="13">
        <f>SUM(B12:E12)</f>
        <v>1330.4</v>
      </c>
      <c r="C46" s="13">
        <f>SUM(C12:F12)</f>
        <v>1293.5180000000003</v>
      </c>
      <c r="D46" s="13">
        <f>SUM(D12:G12)</f>
        <v>1268.7080000000003</v>
      </c>
      <c r="E46" s="13">
        <f>SUM(E12:H12)</f>
        <v>1222.1190000000001</v>
      </c>
      <c r="F46" s="13">
        <f>SUM(F12:I12)</f>
        <v>1176.4000000000001</v>
      </c>
      <c r="G46" s="11"/>
      <c r="H46" s="11"/>
      <c r="I46" s="11"/>
      <c r="J46" s="11"/>
    </row>
    <row r="47" spans="1:13" x14ac:dyDescent="0.2">
      <c r="A47" s="1" t="s">
        <v>8</v>
      </c>
      <c r="B47" s="13">
        <f>B27</f>
        <v>108.39100000000001</v>
      </c>
      <c r="C47" s="13">
        <f>C27</f>
        <v>104.30800000000001</v>
      </c>
      <c r="D47" s="13">
        <f>D27</f>
        <v>100.71899999999999</v>
      </c>
      <c r="E47" s="13">
        <f>E27</f>
        <v>95.472999999999999</v>
      </c>
      <c r="F47" s="13">
        <f>F27</f>
        <v>94.456999999999994</v>
      </c>
      <c r="G47" s="11"/>
      <c r="H47" s="11"/>
      <c r="I47" s="11"/>
      <c r="J47" s="11"/>
    </row>
    <row r="48" spans="1:13" x14ac:dyDescent="0.2">
      <c r="A48" s="1" t="s">
        <v>7</v>
      </c>
      <c r="B48" s="13">
        <f>SUM(B37:E37)</f>
        <v>-12.582999999999997</v>
      </c>
      <c r="C48" s="13">
        <f>SUM(C37:F37)</f>
        <v>23.420000000000005</v>
      </c>
      <c r="D48" s="13">
        <f>SUM(D37:G37)</f>
        <v>29.085000000000001</v>
      </c>
      <c r="E48" s="13">
        <f>SUM(E37:H37)</f>
        <v>10.022000000000002</v>
      </c>
      <c r="F48" s="13">
        <f>SUM(F37:I37)</f>
        <v>16.315000000000001</v>
      </c>
      <c r="G48" s="11"/>
      <c r="H48" s="11"/>
      <c r="I48" s="11"/>
      <c r="J48" s="11"/>
    </row>
    <row r="50" spans="1:13" s="10" customFormat="1" x14ac:dyDescent="0.2">
      <c r="A50" s="10" t="s">
        <v>6</v>
      </c>
      <c r="B50" s="10">
        <f>+SUM(B39:B40)/B47</f>
        <v>3.8966888394792925</v>
      </c>
      <c r="C50" s="10">
        <f>+SUM(C39:C40)/C47</f>
        <v>3.6474000076695936</v>
      </c>
      <c r="D50" s="10">
        <f>+SUM(D39:D40)/D47</f>
        <v>3.8143845749064234</v>
      </c>
      <c r="E50" s="10">
        <f>+SUM(E39:E40)/E47</f>
        <v>4.0565604935426771</v>
      </c>
      <c r="F50" s="10">
        <f>+SUM(F39:F40)/F47</f>
        <v>4.0653419016060219</v>
      </c>
    </row>
    <row r="51" spans="1:13" s="10" customFormat="1" x14ac:dyDescent="0.2">
      <c r="A51" s="10" t="s">
        <v>5</v>
      </c>
      <c r="B51" s="10">
        <f>+B41/B47</f>
        <v>3.8966888394792925</v>
      </c>
      <c r="C51" s="10">
        <f>+C41/C47</f>
        <v>3.6474000076695936</v>
      </c>
      <c r="D51" s="10">
        <f>+D41/D47</f>
        <v>3.8143845749064234</v>
      </c>
      <c r="E51" s="10">
        <f>+E41/E47</f>
        <v>4.0565604935426771</v>
      </c>
      <c r="F51" s="10">
        <f>+F41/F47</f>
        <v>4.0653419016060219</v>
      </c>
    </row>
    <row r="52" spans="1:13" s="10" customFormat="1" x14ac:dyDescent="0.2">
      <c r="A52" s="10" t="s">
        <v>4</v>
      </c>
      <c r="B52" s="10">
        <f>+(B41-B44)/B47</f>
        <v>3.7222186343884638</v>
      </c>
      <c r="C52" s="10">
        <f>+(C41-C44)/C47</f>
        <v>3.5663803351612526</v>
      </c>
      <c r="D52" s="10">
        <f>+(D41-D44)/D47</f>
        <v>3.5957366534616115</v>
      </c>
      <c r="E52" s="10">
        <f>+(E41-E44)/E47</f>
        <v>3.9183119834927149</v>
      </c>
      <c r="F52" s="10">
        <f>+(F41-F44)/F47</f>
        <v>4.0229945901309589</v>
      </c>
    </row>
    <row r="53" spans="1:13" s="6" customFormat="1" x14ac:dyDescent="0.2">
      <c r="A53" s="6" t="s">
        <v>3</v>
      </c>
      <c r="B53" s="6">
        <f>+B48/B41</f>
        <v>-2.9791697248358052E-2</v>
      </c>
      <c r="C53" s="6">
        <f>+C48/C41</f>
        <v>6.1558195099000422E-2</v>
      </c>
      <c r="D53" s="6">
        <f>+D48/D41</f>
        <v>7.5706502924402813E-2</v>
      </c>
      <c r="E53" s="6">
        <f>+E48/E41</f>
        <v>2.5877115974510197E-2</v>
      </c>
      <c r="F53" s="6">
        <f>+F48/F41</f>
        <v>4.2486979166666668E-2</v>
      </c>
    </row>
    <row r="54" spans="1:13" s="6" customFormat="1" x14ac:dyDescent="0.2">
      <c r="A54" s="8" t="s">
        <v>2</v>
      </c>
      <c r="B54" s="9">
        <v>8</v>
      </c>
      <c r="C54" s="9">
        <v>8</v>
      </c>
      <c r="D54" s="9">
        <v>8</v>
      </c>
      <c r="E54" s="9">
        <v>8</v>
      </c>
      <c r="F54" s="9">
        <v>8</v>
      </c>
      <c r="G54" s="9"/>
      <c r="H54" s="9"/>
      <c r="I54" s="9"/>
      <c r="J54" s="9"/>
      <c r="K54" s="8"/>
      <c r="L54" s="8"/>
      <c r="M54" s="8"/>
    </row>
    <row r="55" spans="1:13" s="6" customFormat="1" x14ac:dyDescent="0.2">
      <c r="A55" s="6" t="s">
        <v>1</v>
      </c>
      <c r="B55" s="7" t="str">
        <f t="shared" ref="B55" si="5">IF(B42=0,IF(B54="","","*"&amp;TEXT(B54,"0.0x")),(B41+B42-B44)/B47)</f>
        <v>*8.0x</v>
      </c>
      <c r="C55" s="7" t="str">
        <f t="shared" ref="C55:J55" si="6">IF(C42=0,IF(C54="","","*"&amp;TEXT(C54,"0.0x")),(C41+C42-C44)/C47)</f>
        <v>*8.0x</v>
      </c>
      <c r="D55" s="7" t="str">
        <f t="shared" si="6"/>
        <v>*8.0x</v>
      </c>
      <c r="E55" s="7" t="str">
        <f t="shared" si="6"/>
        <v>*8.0x</v>
      </c>
      <c r="F55" s="7" t="str">
        <f t="shared" si="6"/>
        <v>*8.0x</v>
      </c>
      <c r="G55" s="7" t="str">
        <f t="shared" si="6"/>
        <v/>
      </c>
      <c r="H55" s="7" t="str">
        <f t="shared" si="6"/>
        <v/>
      </c>
      <c r="I55" s="7" t="str">
        <f t="shared" si="6"/>
        <v/>
      </c>
      <c r="J55" s="7" t="str">
        <f t="shared" si="6"/>
        <v/>
      </c>
      <c r="K55" s="7" t="str">
        <f>IF(K42=0,IF(K54="","",CONCATENATE("* ",K54,"x")),(K41+K42-K44)/K47)</f>
        <v/>
      </c>
      <c r="L55" s="7" t="str">
        <f>IF(L42=0,IF(L54="","",CONCATENATE("* ",L54,"x")),(L41+L42-L44)/L47)</f>
        <v/>
      </c>
      <c r="M55" s="7" t="str">
        <f>IF(M42=0,IF(M54="","",CONCATENATE("* ",M54,"x")),(M41+M42-M44)/M47)</f>
        <v/>
      </c>
    </row>
    <row r="56" spans="1:13" x14ac:dyDescent="0.2">
      <c r="J56" s="3"/>
    </row>
    <row r="57" spans="1:13" ht="80.25" customHeight="1" x14ac:dyDescent="0.2">
      <c r="A57" s="5" t="s">
        <v>0</v>
      </c>
      <c r="B57" s="4" t="s">
        <v>235</v>
      </c>
      <c r="C57" s="4"/>
      <c r="D57" s="4"/>
      <c r="E57" s="4" t="s">
        <v>104</v>
      </c>
      <c r="F57" s="4" t="s">
        <v>104</v>
      </c>
      <c r="G57" s="4"/>
      <c r="H57" s="4"/>
      <c r="I57" s="4"/>
      <c r="J57" s="4"/>
      <c r="K57" s="4"/>
      <c r="L57" s="4"/>
      <c r="M57" s="4"/>
    </row>
    <row r="58" spans="1:13" x14ac:dyDescent="0.2">
      <c r="A58" s="2"/>
      <c r="B58" s="3"/>
      <c r="C58" s="3"/>
      <c r="D58" s="3"/>
      <c r="E58" s="3"/>
      <c r="F58" s="3"/>
    </row>
    <row r="59" spans="1:13" x14ac:dyDescent="0.2">
      <c r="A59" s="2"/>
    </row>
  </sheetData>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9" width="10.7109375" style="1" customWidth="1"/>
    <col min="20" max="16384" width="9.140625" style="1"/>
  </cols>
  <sheetData>
    <row r="2" spans="1:19" x14ac:dyDescent="0.2">
      <c r="A2" s="34" t="s">
        <v>45</v>
      </c>
      <c r="B2" s="1" t="s">
        <v>186</v>
      </c>
    </row>
    <row r="3" spans="1:19" s="35" customFormat="1" x14ac:dyDescent="0.2">
      <c r="A3" s="36" t="s">
        <v>43</v>
      </c>
      <c r="B3" s="35" t="s">
        <v>185</v>
      </c>
    </row>
    <row r="4" spans="1:19" x14ac:dyDescent="0.2">
      <c r="A4" s="34" t="s">
        <v>41</v>
      </c>
      <c r="B4" s="1" t="s">
        <v>40</v>
      </c>
    </row>
    <row r="5" spans="1:19" x14ac:dyDescent="0.2">
      <c r="A5" s="34" t="s">
        <v>39</v>
      </c>
    </row>
    <row r="6" spans="1:19" x14ac:dyDescent="0.2">
      <c r="A6" s="34" t="s">
        <v>38</v>
      </c>
      <c r="B6" s="1">
        <v>3</v>
      </c>
    </row>
    <row r="7" spans="1:19" x14ac:dyDescent="0.2">
      <c r="A7" s="34" t="s">
        <v>37</v>
      </c>
      <c r="B7" s="1" t="s">
        <v>233</v>
      </c>
    </row>
    <row r="8" spans="1:19" x14ac:dyDescent="0.2">
      <c r="A8" s="34" t="s">
        <v>281</v>
      </c>
      <c r="B8" s="1" t="s">
        <v>306</v>
      </c>
    </row>
    <row r="9" spans="1:19" x14ac:dyDescent="0.2">
      <c r="A9" s="22"/>
    </row>
    <row r="10" spans="1:19"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f t="shared" ref="R10:S10" si="0">EOMONTH(Q10,-3)</f>
        <v>42916</v>
      </c>
      <c r="S10" s="33">
        <f t="shared" si="0"/>
        <v>42825</v>
      </c>
    </row>
    <row r="12" spans="1:19" x14ac:dyDescent="0.2">
      <c r="A12" s="15" t="s">
        <v>35</v>
      </c>
      <c r="B12" s="19">
        <v>276.43900000000002</v>
      </c>
      <c r="C12" s="19">
        <v>258.29399999999998</v>
      </c>
      <c r="D12" s="19">
        <v>256.642</v>
      </c>
      <c r="E12" s="19">
        <v>227.21100000000001</v>
      </c>
      <c r="F12" s="19">
        <v>86.602000000000004</v>
      </c>
      <c r="G12" s="19">
        <v>222.99799999999999</v>
      </c>
      <c r="H12" s="19">
        <f>771.827-I12-J12-K12</f>
        <v>212.62699999999995</v>
      </c>
      <c r="I12" s="19">
        <v>196.476</v>
      </c>
      <c r="J12" s="19">
        <v>183.82200000000006</v>
      </c>
      <c r="K12" s="19">
        <v>178.90199999999999</v>
      </c>
      <c r="L12" s="19">
        <v>161.95099999999996</v>
      </c>
      <c r="M12" s="19">
        <v>153.31700000000001</v>
      </c>
      <c r="N12" s="19">
        <v>144.17699999999999</v>
      </c>
      <c r="O12" s="19">
        <v>142.792</v>
      </c>
      <c r="P12" s="19">
        <v>126.42500000000001</v>
      </c>
      <c r="Q12" s="19">
        <v>121.492</v>
      </c>
      <c r="R12" s="19">
        <v>119.35599999999999</v>
      </c>
      <c r="S12" s="19">
        <v>122.435</v>
      </c>
    </row>
    <row r="13" spans="1:19" s="28" customFormat="1" x14ac:dyDescent="0.2">
      <c r="A13" s="28" t="s">
        <v>34</v>
      </c>
      <c r="B13" s="28">
        <f t="shared" ref="B13:O13" si="1">B12/F12-1</f>
        <v>2.1920625389713866</v>
      </c>
      <c r="C13" s="28">
        <f t="shared" si="1"/>
        <v>0.15827944645243441</v>
      </c>
      <c r="D13" s="28">
        <f t="shared" si="1"/>
        <v>0.20700569541967884</v>
      </c>
      <c r="E13" s="28">
        <f t="shared" si="1"/>
        <v>0.15643131985586023</v>
      </c>
      <c r="F13" s="28">
        <f t="shared" si="1"/>
        <v>-0.52888120029158658</v>
      </c>
      <c r="G13" s="28">
        <f t="shared" si="1"/>
        <v>0.24648131379190841</v>
      </c>
      <c r="H13" s="28">
        <f t="shared" si="1"/>
        <v>0.3129094602688467</v>
      </c>
      <c r="I13" s="28">
        <f t="shared" si="1"/>
        <v>0.28150172518376948</v>
      </c>
      <c r="J13" s="28">
        <f t="shared" si="1"/>
        <v>0.27497451049751387</v>
      </c>
      <c r="K13" s="28">
        <f t="shared" si="1"/>
        <v>0.252885315703961</v>
      </c>
      <c r="L13" s="28">
        <f t="shared" si="1"/>
        <v>0.28100454815107723</v>
      </c>
      <c r="M13" s="28">
        <f t="shared" si="1"/>
        <v>0.26195140420768448</v>
      </c>
      <c r="N13" s="28">
        <f t="shared" si="1"/>
        <v>0.20795770635745159</v>
      </c>
      <c r="O13" s="28">
        <f t="shared" si="1"/>
        <v>0.16626781557561143</v>
      </c>
    </row>
    <row r="14" spans="1:19" s="23" customFormat="1" x14ac:dyDescent="0.2">
      <c r="A14" s="31" t="s">
        <v>33</v>
      </c>
      <c r="B14" s="125" t="s">
        <v>32</v>
      </c>
      <c r="C14" s="125" t="s">
        <v>32</v>
      </c>
      <c r="D14" s="125" t="s">
        <v>32</v>
      </c>
      <c r="E14" s="125" t="s">
        <v>32</v>
      </c>
      <c r="F14" s="125" t="s">
        <v>32</v>
      </c>
      <c r="G14" s="125" t="s">
        <v>32</v>
      </c>
      <c r="H14" s="125">
        <v>5.0999999999999997E-2</v>
      </c>
      <c r="I14" s="125">
        <v>4.2999999999999997E-2</v>
      </c>
      <c r="J14" s="32" t="s">
        <v>32</v>
      </c>
      <c r="K14" s="125">
        <v>5.6000000000000001E-2</v>
      </c>
      <c r="L14" s="32" t="s">
        <v>32</v>
      </c>
      <c r="M14" s="32" t="s">
        <v>32</v>
      </c>
      <c r="N14" s="32" t="s">
        <v>32</v>
      </c>
      <c r="O14" s="32" t="s">
        <v>32</v>
      </c>
      <c r="P14" s="32"/>
      <c r="Q14" s="32"/>
      <c r="R14" s="32"/>
      <c r="S14" s="32"/>
    </row>
    <row r="16" spans="1:19" s="22" customFormat="1" x14ac:dyDescent="0.2">
      <c r="A16" s="30" t="s">
        <v>31</v>
      </c>
      <c r="B16" s="29">
        <v>50.155000000000001</v>
      </c>
      <c r="C16" s="29">
        <v>46.515000000000001</v>
      </c>
      <c r="D16" s="29">
        <v>56.433999999999997</v>
      </c>
      <c r="E16" s="29">
        <v>42.6</v>
      </c>
      <c r="F16" s="29">
        <v>-13.33</v>
      </c>
      <c r="G16" s="29">
        <v>28</v>
      </c>
      <c r="H16" s="29">
        <v>72.498999999999995</v>
      </c>
      <c r="I16" s="29">
        <v>29.565000000000001</v>
      </c>
      <c r="J16" s="29">
        <v>30.835000000000001</v>
      </c>
      <c r="K16" s="29">
        <v>34.1</v>
      </c>
      <c r="L16" s="29">
        <v>29.312000000000001</v>
      </c>
      <c r="M16" s="29">
        <v>26.4</v>
      </c>
      <c r="N16" s="29">
        <v>25.71</v>
      </c>
      <c r="O16" s="29">
        <v>26.13</v>
      </c>
      <c r="P16" s="29">
        <v>22</v>
      </c>
      <c r="Q16" s="29">
        <v>20.878</v>
      </c>
      <c r="R16" s="29">
        <v>19.581</v>
      </c>
      <c r="S16" s="29">
        <v>21.277000000000001</v>
      </c>
    </row>
    <row r="17" spans="1:19" s="28" customFormat="1" x14ac:dyDescent="0.2">
      <c r="A17" s="28" t="s">
        <v>30</v>
      </c>
      <c r="B17" s="28">
        <f t="shared" ref="B17:C17" si="2">B16/B12</f>
        <v>0.1814324317480529</v>
      </c>
      <c r="C17" s="28">
        <f t="shared" si="2"/>
        <v>0.18008548398336779</v>
      </c>
      <c r="D17" s="28">
        <f t="shared" ref="D17" si="3">D16/D12</f>
        <v>0.21989385992939581</v>
      </c>
      <c r="E17" s="28">
        <f t="shared" ref="E17:F17" si="4">E16/E12</f>
        <v>0.18749092253456037</v>
      </c>
      <c r="F17" s="28">
        <f t="shared" si="4"/>
        <v>-0.15392254220456802</v>
      </c>
      <c r="G17" s="28">
        <f t="shared" ref="G17:H17" si="5">G16/G12</f>
        <v>0.12556166423017248</v>
      </c>
      <c r="H17" s="28">
        <f t="shared" si="5"/>
        <v>0.34096798619178192</v>
      </c>
      <c r="I17" s="28">
        <f t="shared" ref="I17:J17" si="6">I16/I12</f>
        <v>0.15047639406339705</v>
      </c>
      <c r="J17" s="28">
        <f t="shared" si="6"/>
        <v>0.16774379562837957</v>
      </c>
      <c r="K17" s="28">
        <f t="shared" ref="K17:S17" si="7">K16/K12</f>
        <v>0.19060714804753442</v>
      </c>
      <c r="L17" s="28">
        <f t="shared" si="7"/>
        <v>0.18099301640619697</v>
      </c>
      <c r="M17" s="28">
        <f t="shared" si="7"/>
        <v>0.17219225526197354</v>
      </c>
      <c r="N17" s="28">
        <f t="shared" si="7"/>
        <v>0.17832247862002956</v>
      </c>
      <c r="O17" s="28">
        <f t="shared" si="7"/>
        <v>0.18299344501092496</v>
      </c>
      <c r="P17" s="28">
        <f t="shared" si="7"/>
        <v>0.17401621514732052</v>
      </c>
      <c r="Q17" s="28">
        <f t="shared" si="7"/>
        <v>0.1718467059559477</v>
      </c>
      <c r="R17" s="28">
        <f t="shared" si="7"/>
        <v>0.16405543081202453</v>
      </c>
      <c r="S17" s="28">
        <f t="shared" si="7"/>
        <v>0.1737820067791073</v>
      </c>
    </row>
    <row r="18" spans="1:19" s="23" customFormat="1" x14ac:dyDescent="0.2"/>
    <row r="19" spans="1:19"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row>
    <row r="20" spans="1:19"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row>
    <row r="21" spans="1:19"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row>
    <row r="22" spans="1:19" s="22" customFormat="1" x14ac:dyDescent="0.2">
      <c r="A22" s="22" t="s">
        <v>23</v>
      </c>
      <c r="B22" s="20">
        <f t="shared" ref="B22:C22" si="8">B16+B19+B20+B21</f>
        <v>50.155000000000001</v>
      </c>
      <c r="C22" s="20">
        <f t="shared" si="8"/>
        <v>46.515000000000001</v>
      </c>
      <c r="D22" s="20">
        <f t="shared" ref="D22" si="9">D16+D19+D20+D21</f>
        <v>56.433999999999997</v>
      </c>
      <c r="E22" s="20">
        <f t="shared" ref="E22:F22" si="10">E16+E19+E20+E21</f>
        <v>42.6</v>
      </c>
      <c r="F22" s="20">
        <f t="shared" si="10"/>
        <v>-13.33</v>
      </c>
      <c r="G22" s="20">
        <f t="shared" ref="G22:H22" si="11">G16+G19+G20+G21</f>
        <v>28</v>
      </c>
      <c r="H22" s="20">
        <f t="shared" si="11"/>
        <v>72.498999999999995</v>
      </c>
      <c r="I22" s="20">
        <f t="shared" ref="I22:J22" si="12">I16+I19+I20+I21</f>
        <v>29.565000000000001</v>
      </c>
      <c r="J22" s="20">
        <f t="shared" si="12"/>
        <v>30.835000000000001</v>
      </c>
      <c r="K22" s="20">
        <f t="shared" ref="K22:S22" si="13">K16+K19+K20+K21</f>
        <v>34.1</v>
      </c>
      <c r="L22" s="20">
        <f t="shared" si="13"/>
        <v>29.312000000000001</v>
      </c>
      <c r="M22" s="20">
        <f t="shared" si="13"/>
        <v>26.4</v>
      </c>
      <c r="N22" s="20">
        <f t="shared" si="13"/>
        <v>25.71</v>
      </c>
      <c r="O22" s="20">
        <f t="shared" si="13"/>
        <v>26.13</v>
      </c>
      <c r="P22" s="20">
        <f t="shared" si="13"/>
        <v>22</v>
      </c>
      <c r="Q22" s="20">
        <f t="shared" si="13"/>
        <v>20.878</v>
      </c>
      <c r="R22" s="20">
        <f t="shared" si="13"/>
        <v>19.581</v>
      </c>
      <c r="S22" s="20">
        <f t="shared" si="13"/>
        <v>21.277000000000001</v>
      </c>
    </row>
    <row r="23" spans="1:19" s="22" customFormat="1" x14ac:dyDescent="0.2">
      <c r="B23" s="20"/>
      <c r="C23" s="20"/>
      <c r="D23" s="20"/>
      <c r="E23" s="20"/>
      <c r="F23" s="20"/>
      <c r="G23" s="20"/>
      <c r="H23" s="20"/>
      <c r="I23" s="20"/>
      <c r="J23" s="20"/>
      <c r="K23" s="20"/>
      <c r="L23" s="20"/>
      <c r="M23" s="20"/>
      <c r="N23" s="20"/>
      <c r="O23" s="20"/>
      <c r="P23" s="20"/>
      <c r="Q23" s="20"/>
      <c r="R23" s="20"/>
      <c r="S23" s="20"/>
    </row>
    <row r="24" spans="1:19" s="22" customFormat="1" x14ac:dyDescent="0.2">
      <c r="A24" s="22" t="s">
        <v>27</v>
      </c>
      <c r="B24" s="20">
        <f t="shared" ref="B24:P24" si="14">SUM(B22:E22)</f>
        <v>195.70399999999998</v>
      </c>
      <c r="C24" s="20">
        <f t="shared" si="14"/>
        <v>132.21899999999999</v>
      </c>
      <c r="D24" s="20">
        <f t="shared" si="14"/>
        <v>113.70399999999999</v>
      </c>
      <c r="E24" s="20">
        <f t="shared" si="14"/>
        <v>129.76900000000001</v>
      </c>
      <c r="F24" s="20">
        <f t="shared" si="14"/>
        <v>116.73399999999999</v>
      </c>
      <c r="G24" s="20">
        <f t="shared" si="14"/>
        <v>160.899</v>
      </c>
      <c r="H24" s="20">
        <f t="shared" si="14"/>
        <v>166.999</v>
      </c>
      <c r="I24" s="20">
        <f t="shared" si="14"/>
        <v>123.812</v>
      </c>
      <c r="J24" s="20">
        <f t="shared" si="14"/>
        <v>120.64699999999999</v>
      </c>
      <c r="K24" s="20">
        <f t="shared" si="14"/>
        <v>115.52200000000002</v>
      </c>
      <c r="L24" s="20">
        <f t="shared" si="14"/>
        <v>107.55199999999999</v>
      </c>
      <c r="M24" s="20">
        <f t="shared" si="14"/>
        <v>100.24</v>
      </c>
      <c r="N24" s="20">
        <f t="shared" si="14"/>
        <v>94.718000000000004</v>
      </c>
      <c r="O24" s="20">
        <f t="shared" si="14"/>
        <v>88.588999999999999</v>
      </c>
      <c r="P24" s="20">
        <f t="shared" si="14"/>
        <v>83.736000000000004</v>
      </c>
      <c r="Q24" s="20"/>
      <c r="R24" s="20"/>
      <c r="S24" s="20"/>
    </row>
    <row r="25" spans="1:19" s="23" customFormat="1" x14ac:dyDescent="0.2">
      <c r="A25" s="15" t="s">
        <v>26</v>
      </c>
      <c r="B25" s="27">
        <f>234-B24</f>
        <v>38.296000000000021</v>
      </c>
      <c r="C25" s="27">
        <f>209.8-C24</f>
        <v>77.581000000000017</v>
      </c>
      <c r="D25" s="27">
        <f>213.8-D24</f>
        <v>100.09600000000002</v>
      </c>
      <c r="E25" s="27">
        <f>179-E24</f>
        <v>49.230999999999995</v>
      </c>
      <c r="F25" s="27">
        <f>177.78-F24</f>
        <v>61.046000000000006</v>
      </c>
      <c r="G25" s="27">
        <f>182-G24</f>
        <v>21.100999999999999</v>
      </c>
      <c r="H25" s="27">
        <f>167.017-H24</f>
        <v>1.8000000000000682E-2</v>
      </c>
      <c r="I25" s="27">
        <f>167.727-I24</f>
        <v>43.915000000000006</v>
      </c>
      <c r="J25" s="27">
        <f>168.6-J24</f>
        <v>47.953000000000003</v>
      </c>
      <c r="K25" s="27">
        <f>133.5-K24</f>
        <v>17.97799999999998</v>
      </c>
      <c r="L25" s="27">
        <f>126.6-L24</f>
        <v>19.048000000000002</v>
      </c>
      <c r="M25" s="27">
        <f>118-M24</f>
        <v>17.760000000000005</v>
      </c>
      <c r="N25" s="27">
        <f>109-N24</f>
        <v>14.281999999999996</v>
      </c>
      <c r="O25" s="27">
        <f>101.1-O24</f>
        <v>12.510999999999996</v>
      </c>
      <c r="P25" s="27">
        <f>98-P24</f>
        <v>14.263999999999996</v>
      </c>
      <c r="Q25" s="27"/>
      <c r="R25" s="27"/>
      <c r="S25" s="27"/>
    </row>
    <row r="26" spans="1:19"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c r="R26" s="21"/>
      <c r="S26" s="21"/>
    </row>
    <row r="27" spans="1:19" s="24" customFormat="1" x14ac:dyDescent="0.2">
      <c r="A27" s="22" t="s">
        <v>24</v>
      </c>
      <c r="B27" s="20">
        <f t="shared" ref="B27:C27" si="15">B24+B25+B26</f>
        <v>234</v>
      </c>
      <c r="C27" s="20">
        <f t="shared" si="15"/>
        <v>209.8</v>
      </c>
      <c r="D27" s="20">
        <f t="shared" ref="D27" si="16">D24+D25+D26</f>
        <v>213.8</v>
      </c>
      <c r="E27" s="20">
        <f t="shared" ref="E27" si="17">E24+E25+E26</f>
        <v>179</v>
      </c>
      <c r="F27" s="20">
        <f t="shared" ref="F27:G27" si="18">F24+F25+F26</f>
        <v>177.78</v>
      </c>
      <c r="G27" s="20">
        <f t="shared" si="18"/>
        <v>182</v>
      </c>
      <c r="H27" s="20">
        <f t="shared" ref="H27:I27" si="19">H24+H25+H26</f>
        <v>167.017</v>
      </c>
      <c r="I27" s="20">
        <f t="shared" si="19"/>
        <v>167.727</v>
      </c>
      <c r="J27" s="20">
        <f t="shared" ref="J27" si="20">J24+J25+J26</f>
        <v>168.6</v>
      </c>
      <c r="K27" s="20">
        <f t="shared" ref="K27:P27" si="21">K24+K25+K26</f>
        <v>133.5</v>
      </c>
      <c r="L27" s="20">
        <f t="shared" si="21"/>
        <v>126.6</v>
      </c>
      <c r="M27" s="20">
        <f t="shared" si="21"/>
        <v>118</v>
      </c>
      <c r="N27" s="20">
        <f t="shared" si="21"/>
        <v>109</v>
      </c>
      <c r="O27" s="20">
        <f t="shared" si="21"/>
        <v>101.1</v>
      </c>
      <c r="P27" s="20">
        <f t="shared" si="21"/>
        <v>98</v>
      </c>
      <c r="Q27" s="20"/>
      <c r="R27" s="20"/>
      <c r="S27" s="20"/>
    </row>
    <row r="28" spans="1:19" s="23" customFormat="1" x14ac:dyDescent="0.2">
      <c r="J28" s="113"/>
    </row>
    <row r="29" spans="1:19" s="22" customFormat="1" x14ac:dyDescent="0.2">
      <c r="A29" s="22" t="s">
        <v>23</v>
      </c>
      <c r="B29" s="20">
        <f t="shared" ref="B29" si="22">B22</f>
        <v>50.155000000000001</v>
      </c>
      <c r="C29" s="20">
        <f t="shared" ref="C29:E29" si="23">C22</f>
        <v>46.515000000000001</v>
      </c>
      <c r="D29" s="20">
        <f t="shared" si="23"/>
        <v>56.433999999999997</v>
      </c>
      <c r="E29" s="20">
        <f t="shared" si="23"/>
        <v>42.6</v>
      </c>
      <c r="F29" s="20">
        <f t="shared" ref="F29:H29" si="24">F22</f>
        <v>-13.33</v>
      </c>
      <c r="G29" s="20">
        <f t="shared" si="24"/>
        <v>28</v>
      </c>
      <c r="H29" s="20">
        <f t="shared" si="24"/>
        <v>72.498999999999995</v>
      </c>
      <c r="I29" s="20">
        <f t="shared" ref="I29:O29" si="25">I22</f>
        <v>29.565000000000001</v>
      </c>
      <c r="J29" s="20">
        <f t="shared" si="25"/>
        <v>30.835000000000001</v>
      </c>
      <c r="K29" s="20">
        <f t="shared" si="25"/>
        <v>34.1</v>
      </c>
      <c r="L29" s="20">
        <f t="shared" si="25"/>
        <v>29.312000000000001</v>
      </c>
      <c r="M29" s="20">
        <f t="shared" si="25"/>
        <v>26.4</v>
      </c>
      <c r="N29" s="20">
        <f t="shared" si="25"/>
        <v>25.71</v>
      </c>
      <c r="O29" s="20">
        <f t="shared" si="25"/>
        <v>26.13</v>
      </c>
      <c r="P29" s="20">
        <v>65.288000000000025</v>
      </c>
      <c r="Q29" s="20">
        <f>Q22</f>
        <v>20.878</v>
      </c>
      <c r="R29" s="20">
        <f>R22</f>
        <v>19.581</v>
      </c>
      <c r="S29" s="20">
        <f>S22</f>
        <v>21.277000000000001</v>
      </c>
    </row>
    <row r="30" spans="1:19" s="11" customFormat="1" x14ac:dyDescent="0.2">
      <c r="A30" s="19" t="s">
        <v>22</v>
      </c>
      <c r="B30" s="19">
        <v>-24.358000000000001</v>
      </c>
      <c r="C30" s="19">
        <v>-25.11</v>
      </c>
      <c r="D30" s="19">
        <v>-24.998999999999999</v>
      </c>
      <c r="E30" s="19">
        <v>-31.233000000000001</v>
      </c>
      <c r="F30" s="19">
        <v>-16.824999999999999</v>
      </c>
      <c r="G30" s="19">
        <v>-25.07</v>
      </c>
      <c r="H30" s="19">
        <v>-29.766000000000005</v>
      </c>
      <c r="I30" s="19">
        <v>-16.341999999999999</v>
      </c>
      <c r="J30" s="19">
        <v>-10.214000000000002</v>
      </c>
      <c r="K30" s="19">
        <v>-9.7240000000000002</v>
      </c>
      <c r="L30" s="19">
        <v>-10.445999999999998</v>
      </c>
      <c r="M30" s="19">
        <v>-10.387</v>
      </c>
      <c r="N30" s="19">
        <v>-13.766999999999999</v>
      </c>
      <c r="O30" s="19">
        <v>-6.0810000000000004</v>
      </c>
      <c r="P30" s="19">
        <v>-10.341000000000001</v>
      </c>
      <c r="Q30" s="19">
        <v>-11.406000000000001</v>
      </c>
      <c r="R30" s="19">
        <v>-10.4</v>
      </c>
      <c r="S30" s="19">
        <v>-11.302</v>
      </c>
    </row>
    <row r="31" spans="1:19" s="11" customFormat="1" x14ac:dyDescent="0.2">
      <c r="A31" s="19" t="s">
        <v>21</v>
      </c>
      <c r="B31" s="19">
        <v>0</v>
      </c>
      <c r="C31" s="19">
        <v>0</v>
      </c>
      <c r="D31" s="19">
        <v>0</v>
      </c>
      <c r="E31" s="19">
        <v>0</v>
      </c>
      <c r="F31" s="19">
        <v>0</v>
      </c>
      <c r="G31" s="19">
        <v>0</v>
      </c>
      <c r="H31" s="19">
        <v>0</v>
      </c>
      <c r="I31" s="19">
        <v>0</v>
      </c>
      <c r="J31" s="19">
        <v>0</v>
      </c>
      <c r="K31" s="19">
        <v>0</v>
      </c>
      <c r="L31" s="19">
        <v>0</v>
      </c>
      <c r="M31" s="19">
        <v>0</v>
      </c>
      <c r="N31" s="19">
        <v>0</v>
      </c>
      <c r="O31" s="19">
        <v>0</v>
      </c>
      <c r="P31" s="19">
        <v>0</v>
      </c>
      <c r="Q31" s="19">
        <v>0</v>
      </c>
      <c r="R31" s="19">
        <v>0</v>
      </c>
      <c r="S31" s="19">
        <v>0</v>
      </c>
    </row>
    <row r="32" spans="1:19" s="11" customFormat="1" x14ac:dyDescent="0.2">
      <c r="A32" s="19" t="s">
        <v>20</v>
      </c>
      <c r="B32" s="19">
        <v>10.636999999999999</v>
      </c>
      <c r="C32" s="19">
        <v>4.6589999999999989</v>
      </c>
      <c r="D32" s="19">
        <v>4.5429999999999984</v>
      </c>
      <c r="E32" s="19">
        <v>-33.400999999999996</v>
      </c>
      <c r="F32" s="19">
        <v>58.156999999999996</v>
      </c>
      <c r="G32" s="19">
        <v>11.987000000000002</v>
      </c>
      <c r="H32" s="19">
        <v>3.4469999999999956</v>
      </c>
      <c r="I32" s="19">
        <v>-2.2839999999999998</v>
      </c>
      <c r="J32" s="19">
        <v>2.3389999999999995</v>
      </c>
      <c r="K32" s="19">
        <v>-1.2520000000000002</v>
      </c>
      <c r="L32" s="19">
        <v>-9.586999999999998</v>
      </c>
      <c r="M32" s="19">
        <v>-3.2229999999999999</v>
      </c>
      <c r="N32" s="19">
        <v>0.64599999999999924</v>
      </c>
      <c r="O32" s="19">
        <v>2.9669999999999996</v>
      </c>
      <c r="P32" s="19">
        <v>-3.0119999999999969</v>
      </c>
      <c r="Q32" s="19">
        <v>-2.4860000000000002</v>
      </c>
      <c r="R32" s="19">
        <v>14.541</v>
      </c>
      <c r="S32" s="19">
        <v>1.9689999999999994</v>
      </c>
    </row>
    <row r="33" spans="1:19"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row>
    <row r="34" spans="1:19"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row>
    <row r="35" spans="1:19" s="20" customFormat="1" x14ac:dyDescent="0.2">
      <c r="A35" s="20" t="s">
        <v>17</v>
      </c>
      <c r="B35" s="20">
        <v>17.152999999999999</v>
      </c>
      <c r="C35" s="20">
        <v>11.808999999999999</v>
      </c>
      <c r="D35" s="20">
        <v>17.724</v>
      </c>
      <c r="E35" s="20">
        <v>-33.152000000000001</v>
      </c>
      <c r="F35" s="20">
        <v>10.180999999999999</v>
      </c>
      <c r="G35" s="20">
        <v>0.35299999999999998</v>
      </c>
      <c r="H35" s="20">
        <v>4.9089999999999998</v>
      </c>
      <c r="I35" s="20">
        <v>-3.347</v>
      </c>
      <c r="J35" s="20">
        <v>13.272000000000002</v>
      </c>
      <c r="K35" s="20">
        <v>14.260999999999999</v>
      </c>
      <c r="L35" s="20">
        <v>3.0030000000000001</v>
      </c>
      <c r="M35" s="20">
        <v>6.2969999999999997</v>
      </c>
      <c r="N35" s="20">
        <v>9.3659999999999997</v>
      </c>
      <c r="O35" s="20">
        <v>12.718</v>
      </c>
      <c r="P35" s="20">
        <v>2.699999999999747E-2</v>
      </c>
      <c r="Q35" s="20">
        <v>2.6389999999999998</v>
      </c>
      <c r="R35" s="20">
        <v>15.823</v>
      </c>
      <c r="S35" s="20">
        <v>7.798</v>
      </c>
    </row>
    <row r="36" spans="1:19" s="11" customFormat="1" x14ac:dyDescent="0.2">
      <c r="A36" s="19" t="s">
        <v>16</v>
      </c>
      <c r="B36" s="21">
        <v>-7.4550000000000001</v>
      </c>
      <c r="C36" s="21">
        <v>-11.5449</v>
      </c>
      <c r="D36" s="21">
        <v>-5.0919999999999996</v>
      </c>
      <c r="E36" s="21">
        <v>-2.59</v>
      </c>
      <c r="F36" s="21">
        <v>-1.5269999999999999</v>
      </c>
      <c r="G36" s="21">
        <v>-4.3220000000000001</v>
      </c>
      <c r="H36" s="21">
        <v>-6.6559999999999997</v>
      </c>
      <c r="I36" s="21">
        <v>-5.4660000000000002</v>
      </c>
      <c r="J36" s="21">
        <v>-5.375</v>
      </c>
      <c r="K36" s="21">
        <v>-3.988</v>
      </c>
      <c r="L36" s="21">
        <v>-2.8969999999999998</v>
      </c>
      <c r="M36" s="21">
        <v>-2.972</v>
      </c>
      <c r="N36" s="21">
        <v>-2.226</v>
      </c>
      <c r="O36" s="21">
        <v>-5.8719999999999999</v>
      </c>
      <c r="P36" s="21">
        <v>-1.4740000000000002</v>
      </c>
      <c r="Q36" s="21">
        <v>-2.923</v>
      </c>
      <c r="R36" s="21">
        <v>-2.9849999999999999</v>
      </c>
      <c r="S36" s="21">
        <v>-4.875</v>
      </c>
    </row>
    <row r="37" spans="1:19" s="20" customFormat="1" x14ac:dyDescent="0.2">
      <c r="A37" s="20" t="s">
        <v>15</v>
      </c>
      <c r="B37" s="20">
        <f t="shared" ref="B37:S37" si="26">B35+B36</f>
        <v>9.6979999999999986</v>
      </c>
      <c r="C37" s="20">
        <f t="shared" si="26"/>
        <v>0.26409999999999911</v>
      </c>
      <c r="D37" s="20">
        <f t="shared" si="26"/>
        <v>12.632000000000001</v>
      </c>
      <c r="E37" s="20">
        <f t="shared" si="26"/>
        <v>-35.742000000000004</v>
      </c>
      <c r="F37" s="20">
        <f t="shared" si="26"/>
        <v>8.6539999999999999</v>
      </c>
      <c r="G37" s="20">
        <f t="shared" si="26"/>
        <v>-3.9690000000000003</v>
      </c>
      <c r="H37" s="20">
        <f t="shared" si="26"/>
        <v>-1.7469999999999999</v>
      </c>
      <c r="I37" s="20">
        <f t="shared" si="26"/>
        <v>-8.8130000000000006</v>
      </c>
      <c r="J37" s="20">
        <f t="shared" si="26"/>
        <v>7.897000000000002</v>
      </c>
      <c r="K37" s="20">
        <f t="shared" si="26"/>
        <v>10.273</v>
      </c>
      <c r="L37" s="20">
        <f t="shared" si="26"/>
        <v>0.10600000000000032</v>
      </c>
      <c r="M37" s="20">
        <f t="shared" si="26"/>
        <v>3.3249999999999997</v>
      </c>
      <c r="N37" s="20">
        <f t="shared" si="26"/>
        <v>7.14</v>
      </c>
      <c r="O37" s="20">
        <f t="shared" si="26"/>
        <v>6.8460000000000001</v>
      </c>
      <c r="P37" s="20">
        <f t="shared" si="26"/>
        <v>-1.4470000000000027</v>
      </c>
      <c r="Q37" s="20">
        <f t="shared" si="26"/>
        <v>-0.28400000000000025</v>
      </c>
      <c r="R37" s="20">
        <f t="shared" si="26"/>
        <v>12.838000000000001</v>
      </c>
      <c r="S37" s="20">
        <f t="shared" si="26"/>
        <v>2.923</v>
      </c>
    </row>
    <row r="39" spans="1:19" s="16" customFormat="1" x14ac:dyDescent="0.2">
      <c r="A39" s="18" t="s">
        <v>14</v>
      </c>
      <c r="B39" s="19">
        <v>0</v>
      </c>
      <c r="C39" s="19">
        <v>0</v>
      </c>
      <c r="D39" s="19">
        <v>0</v>
      </c>
      <c r="E39" s="19">
        <v>0</v>
      </c>
      <c r="F39" s="19">
        <v>0</v>
      </c>
      <c r="G39" s="19">
        <v>223</v>
      </c>
      <c r="H39" s="19">
        <v>10</v>
      </c>
      <c r="I39" s="19">
        <v>0</v>
      </c>
      <c r="J39" s="19">
        <v>0</v>
      </c>
      <c r="K39" s="19">
        <v>37</v>
      </c>
      <c r="L39" s="19">
        <v>20</v>
      </c>
      <c r="M39" s="19">
        <v>0</v>
      </c>
      <c r="N39" s="19">
        <v>0</v>
      </c>
      <c r="O39" s="19">
        <v>0</v>
      </c>
      <c r="P39" s="19">
        <v>0</v>
      </c>
      <c r="Q39" s="19"/>
      <c r="R39" s="19"/>
      <c r="S39" s="19"/>
    </row>
    <row r="40" spans="1:19" s="16" customFormat="1" x14ac:dyDescent="0.2">
      <c r="A40" s="18" t="s">
        <v>13</v>
      </c>
      <c r="B40" s="19">
        <v>1313</v>
      </c>
      <c r="C40" s="19">
        <v>1246</v>
      </c>
      <c r="D40" s="19">
        <v>1124</v>
      </c>
      <c r="E40" s="19">
        <v>1063</v>
      </c>
      <c r="F40" s="19">
        <v>1066</v>
      </c>
      <c r="G40" s="19">
        <v>890</v>
      </c>
      <c r="H40" s="19">
        <v>890</v>
      </c>
      <c r="I40" s="19">
        <v>845</v>
      </c>
      <c r="J40" s="19">
        <v>845</v>
      </c>
      <c r="K40" s="19">
        <v>460.4</v>
      </c>
      <c r="L40" s="19">
        <v>461.5</v>
      </c>
      <c r="M40" s="19">
        <v>462.7</v>
      </c>
      <c r="N40" s="19">
        <v>463.8</v>
      </c>
      <c r="O40" s="19">
        <v>465</v>
      </c>
      <c r="P40" s="19">
        <v>440</v>
      </c>
      <c r="Q40" s="19"/>
      <c r="R40" s="19"/>
      <c r="S40" s="19"/>
    </row>
    <row r="41" spans="1:19" s="16" customFormat="1" x14ac:dyDescent="0.2">
      <c r="A41" s="18" t="s">
        <v>12</v>
      </c>
      <c r="B41" s="19">
        <f t="shared" ref="B41:J41" si="27">B39+B40+360</f>
        <v>1673</v>
      </c>
      <c r="C41" s="19">
        <f t="shared" si="27"/>
        <v>1606</v>
      </c>
      <c r="D41" s="19">
        <f t="shared" si="27"/>
        <v>1484</v>
      </c>
      <c r="E41" s="19">
        <f t="shared" si="27"/>
        <v>1423</v>
      </c>
      <c r="F41" s="19">
        <f t="shared" si="27"/>
        <v>1426</v>
      </c>
      <c r="G41" s="19">
        <f t="shared" si="27"/>
        <v>1473</v>
      </c>
      <c r="H41" s="19">
        <f t="shared" si="27"/>
        <v>1260</v>
      </c>
      <c r="I41" s="19">
        <f t="shared" si="27"/>
        <v>1205</v>
      </c>
      <c r="J41" s="19">
        <f t="shared" si="27"/>
        <v>1205</v>
      </c>
      <c r="K41" s="19">
        <f>K39+K40+135</f>
        <v>632.4</v>
      </c>
      <c r="L41" s="19">
        <f>L39+L40+135+9.963</f>
        <v>626.46299999999997</v>
      </c>
      <c r="M41" s="19">
        <f>M39+M40+135+2.331</f>
        <v>600.03100000000006</v>
      </c>
      <c r="N41" s="19">
        <f>N39+N40+135+2.283</f>
        <v>601.08299999999997</v>
      </c>
      <c r="O41" s="19">
        <f>O39+O40+135+5.028+4.456</f>
        <v>609.48400000000004</v>
      </c>
      <c r="P41" s="19">
        <f>P39+P40+160</f>
        <v>600</v>
      </c>
      <c r="Q41" s="19"/>
      <c r="R41" s="19"/>
      <c r="S41" s="19"/>
    </row>
    <row r="42" spans="1:19" s="16" customFormat="1" x14ac:dyDescent="0.2">
      <c r="A42" s="18" t="s">
        <v>11</v>
      </c>
      <c r="B42" s="17">
        <v>1634</v>
      </c>
      <c r="C42" s="17">
        <v>1634</v>
      </c>
      <c r="D42" s="17">
        <v>1634</v>
      </c>
      <c r="E42" s="17">
        <v>1438</v>
      </c>
      <c r="F42" s="17">
        <v>1438</v>
      </c>
      <c r="G42" s="17">
        <v>1438</v>
      </c>
      <c r="H42" s="17">
        <v>1438</v>
      </c>
      <c r="I42" s="17">
        <v>1438</v>
      </c>
      <c r="J42" s="17">
        <v>1438</v>
      </c>
      <c r="K42" s="17">
        <v>500</v>
      </c>
      <c r="L42" s="17">
        <v>500</v>
      </c>
      <c r="M42" s="17">
        <v>500</v>
      </c>
      <c r="N42" s="17">
        <v>500</v>
      </c>
      <c r="O42" s="17">
        <v>500</v>
      </c>
      <c r="P42" s="17">
        <v>500</v>
      </c>
      <c r="Q42" s="17"/>
      <c r="R42" s="17"/>
      <c r="S42" s="17"/>
    </row>
    <row r="43" spans="1:19" x14ac:dyDescent="0.2">
      <c r="B43" s="16"/>
      <c r="C43" s="16"/>
      <c r="D43" s="16"/>
      <c r="E43" s="16"/>
      <c r="F43" s="16"/>
      <c r="G43" s="16"/>
      <c r="H43" s="16"/>
      <c r="I43" s="16"/>
      <c r="J43" s="16"/>
      <c r="K43" s="16"/>
      <c r="L43" s="16"/>
      <c r="M43" s="16"/>
      <c r="N43" s="16"/>
      <c r="O43" s="16"/>
      <c r="P43" s="16"/>
      <c r="Q43" s="16"/>
      <c r="R43" s="16"/>
      <c r="S43" s="16"/>
    </row>
    <row r="44" spans="1:19" x14ac:dyDescent="0.2">
      <c r="A44" s="15" t="s">
        <v>10</v>
      </c>
      <c r="B44" s="27">
        <v>214.167</v>
      </c>
      <c r="C44" s="27">
        <v>296.57499999999999</v>
      </c>
      <c r="D44" s="27">
        <v>262</v>
      </c>
      <c r="E44" s="27">
        <v>156.62799999999999</v>
      </c>
      <c r="F44" s="27">
        <v>151.98400000000001</v>
      </c>
      <c r="G44" s="27">
        <v>148.023</v>
      </c>
      <c r="H44" s="27">
        <v>27.05</v>
      </c>
      <c r="I44" s="27">
        <v>8.9</v>
      </c>
      <c r="J44" s="27">
        <v>20</v>
      </c>
      <c r="K44" s="27">
        <v>22.036000000000001</v>
      </c>
      <c r="L44" s="27">
        <v>12.837999999999999</v>
      </c>
      <c r="M44" s="27">
        <v>25.431999999999999</v>
      </c>
      <c r="N44" s="27">
        <v>72.097999999999999</v>
      </c>
      <c r="O44" s="27">
        <v>87.156999999999996</v>
      </c>
      <c r="P44" s="27">
        <v>35.593000000000004</v>
      </c>
      <c r="Q44" s="27"/>
      <c r="R44" s="27"/>
      <c r="S44" s="27"/>
    </row>
    <row r="46" spans="1:19" x14ac:dyDescent="0.2">
      <c r="A46" s="1" t="s">
        <v>9</v>
      </c>
      <c r="B46" s="13">
        <f t="shared" ref="B46:J46" si="28">SUM(B12:E12)</f>
        <v>1018.586</v>
      </c>
      <c r="C46" s="13">
        <f t="shared" si="28"/>
        <v>828.74899999999991</v>
      </c>
      <c r="D46" s="13">
        <f t="shared" si="28"/>
        <v>793.45299999999997</v>
      </c>
      <c r="E46" s="13">
        <f t="shared" si="28"/>
        <v>749.43799999999987</v>
      </c>
      <c r="F46" s="13">
        <f t="shared" si="28"/>
        <v>718.70299999999997</v>
      </c>
      <c r="G46" s="13">
        <f t="shared" si="28"/>
        <v>815.923</v>
      </c>
      <c r="H46" s="13">
        <f t="shared" si="28"/>
        <v>771.827</v>
      </c>
      <c r="I46" s="13">
        <f t="shared" si="28"/>
        <v>721.15100000000007</v>
      </c>
      <c r="J46" s="13">
        <f t="shared" si="28"/>
        <v>677.99199999999996</v>
      </c>
      <c r="K46" s="13">
        <f t="shared" ref="K46:P46" si="29">SUM(K12:N12)</f>
        <v>638.34699999999998</v>
      </c>
      <c r="L46" s="13">
        <f t="shared" si="29"/>
        <v>602.23699999999997</v>
      </c>
      <c r="M46" s="13">
        <f t="shared" si="29"/>
        <v>566.71100000000001</v>
      </c>
      <c r="N46" s="13">
        <f t="shared" si="29"/>
        <v>534.88599999999997</v>
      </c>
      <c r="O46" s="13">
        <f t="shared" si="29"/>
        <v>510.065</v>
      </c>
      <c r="P46" s="13">
        <f t="shared" si="29"/>
        <v>489.70800000000003</v>
      </c>
      <c r="Q46" s="13"/>
      <c r="R46" s="11"/>
      <c r="S46" s="11"/>
    </row>
    <row r="47" spans="1:19" x14ac:dyDescent="0.2">
      <c r="A47" s="1" t="s">
        <v>8</v>
      </c>
      <c r="B47" s="13">
        <f t="shared" ref="B47:C47" si="30">B27</f>
        <v>234</v>
      </c>
      <c r="C47" s="13">
        <f t="shared" si="30"/>
        <v>209.8</v>
      </c>
      <c r="D47" s="13">
        <f t="shared" ref="D47" si="31">D27</f>
        <v>213.8</v>
      </c>
      <c r="E47" s="13">
        <f t="shared" ref="E47:J47" si="32">E27</f>
        <v>179</v>
      </c>
      <c r="F47" s="13">
        <f t="shared" si="32"/>
        <v>177.78</v>
      </c>
      <c r="G47" s="13">
        <f t="shared" si="32"/>
        <v>182</v>
      </c>
      <c r="H47" s="13">
        <f t="shared" si="32"/>
        <v>167.017</v>
      </c>
      <c r="I47" s="13">
        <f t="shared" si="32"/>
        <v>167.727</v>
      </c>
      <c r="J47" s="13">
        <f t="shared" si="32"/>
        <v>168.6</v>
      </c>
      <c r="K47" s="13">
        <f t="shared" ref="K47" si="33">K27</f>
        <v>133.5</v>
      </c>
      <c r="L47" s="13">
        <f t="shared" ref="L47:P47" si="34">L27</f>
        <v>126.6</v>
      </c>
      <c r="M47" s="13">
        <f t="shared" si="34"/>
        <v>118</v>
      </c>
      <c r="N47" s="13">
        <f t="shared" si="34"/>
        <v>109</v>
      </c>
      <c r="O47" s="13">
        <f t="shared" si="34"/>
        <v>101.1</v>
      </c>
      <c r="P47" s="13">
        <f t="shared" si="34"/>
        <v>98</v>
      </c>
      <c r="Q47" s="12"/>
      <c r="R47" s="11"/>
      <c r="S47" s="11"/>
    </row>
    <row r="48" spans="1:19" x14ac:dyDescent="0.2">
      <c r="A48" s="1" t="s">
        <v>7</v>
      </c>
      <c r="B48" s="13">
        <f t="shared" ref="B48:P48" si="35">SUM(B37:E37)</f>
        <v>-13.147900000000007</v>
      </c>
      <c r="C48" s="13">
        <f t="shared" si="35"/>
        <v>-14.191900000000004</v>
      </c>
      <c r="D48" s="13">
        <f t="shared" si="35"/>
        <v>-18.425000000000004</v>
      </c>
      <c r="E48" s="13">
        <f t="shared" si="35"/>
        <v>-32.804000000000002</v>
      </c>
      <c r="F48" s="13">
        <f t="shared" si="35"/>
        <v>-5.8750000000000009</v>
      </c>
      <c r="G48" s="13">
        <f t="shared" si="35"/>
        <v>-6.6319999999999979</v>
      </c>
      <c r="H48" s="13">
        <f t="shared" si="35"/>
        <v>7.6100000000000012</v>
      </c>
      <c r="I48" s="13">
        <f t="shared" si="35"/>
        <v>9.463000000000001</v>
      </c>
      <c r="J48" s="13">
        <f t="shared" si="35"/>
        <v>21.601000000000003</v>
      </c>
      <c r="K48" s="13">
        <f t="shared" si="35"/>
        <v>20.843999999999998</v>
      </c>
      <c r="L48" s="13">
        <f t="shared" si="35"/>
        <v>17.417000000000002</v>
      </c>
      <c r="M48" s="13">
        <f t="shared" si="35"/>
        <v>15.863999999999997</v>
      </c>
      <c r="N48" s="13">
        <f t="shared" si="35"/>
        <v>12.254999999999997</v>
      </c>
      <c r="O48" s="13">
        <f t="shared" si="35"/>
        <v>17.952999999999996</v>
      </c>
      <c r="P48" s="13">
        <f t="shared" si="35"/>
        <v>14.029999999999998</v>
      </c>
      <c r="Q48" s="12"/>
      <c r="R48" s="11"/>
      <c r="S48" s="11"/>
    </row>
    <row r="50" spans="1:19" s="10" customFormat="1" x14ac:dyDescent="0.2">
      <c r="A50" s="10" t="s">
        <v>6</v>
      </c>
      <c r="B50" s="10">
        <f t="shared" ref="B50:C50" si="36">+SUM(B39:B40)/B47</f>
        <v>5.6111111111111107</v>
      </c>
      <c r="C50" s="10">
        <f t="shared" si="36"/>
        <v>5.9389895138226878</v>
      </c>
      <c r="D50" s="10">
        <f t="shared" ref="D50" si="37">+SUM(D39:D40)/D47</f>
        <v>5.2572497661365762</v>
      </c>
      <c r="E50" s="10">
        <f t="shared" ref="E50" si="38">+SUM(E39:E40)/E47</f>
        <v>5.9385474860335199</v>
      </c>
      <c r="F50" s="10">
        <f t="shared" ref="F50:G50" si="39">+SUM(F39:F40)/F47</f>
        <v>5.996175047811902</v>
      </c>
      <c r="G50" s="10">
        <f t="shared" si="39"/>
        <v>6.115384615384615</v>
      </c>
      <c r="H50" s="10">
        <f t="shared" ref="H50:I50" si="40">+SUM(H39:H40)/H47</f>
        <v>5.3886730093343793</v>
      </c>
      <c r="I50" s="10">
        <f t="shared" si="40"/>
        <v>5.0379485711900882</v>
      </c>
      <c r="J50" s="10">
        <f t="shared" ref="J50:K50" si="41">+SUM(J39:J40)/J47</f>
        <v>5.011862396204033</v>
      </c>
      <c r="K50" s="10">
        <f t="shared" si="41"/>
        <v>3.7258426966292135</v>
      </c>
      <c r="L50" s="10">
        <f t="shared" ref="L50:P50" si="42">+SUM(L39:L40)/L47</f>
        <v>3.8033175355450237</v>
      </c>
      <c r="M50" s="10">
        <f t="shared" si="42"/>
        <v>3.9211864406779662</v>
      </c>
      <c r="N50" s="10">
        <f t="shared" si="42"/>
        <v>4.2550458715596333</v>
      </c>
      <c r="O50" s="10">
        <f t="shared" si="42"/>
        <v>4.5994065281899115</v>
      </c>
      <c r="P50" s="10">
        <f t="shared" si="42"/>
        <v>4.4897959183673466</v>
      </c>
    </row>
    <row r="51" spans="1:19" s="10" customFormat="1" x14ac:dyDescent="0.2">
      <c r="A51" s="10" t="s">
        <v>5</v>
      </c>
      <c r="B51" s="10">
        <f t="shared" ref="B51:C51" si="43">+B41/B47</f>
        <v>7.1495726495726499</v>
      </c>
      <c r="C51" s="10">
        <f t="shared" si="43"/>
        <v>7.6549094375595805</v>
      </c>
      <c r="D51" s="10">
        <f t="shared" ref="D51" si="44">+D41/D47</f>
        <v>6.9410664172123475</v>
      </c>
      <c r="E51" s="10">
        <f t="shared" ref="E51" si="45">+E41/E47</f>
        <v>7.9497206703910619</v>
      </c>
      <c r="F51" s="10">
        <f t="shared" ref="F51:G51" si="46">+F41/F47</f>
        <v>8.0211497356283044</v>
      </c>
      <c r="G51" s="10">
        <f t="shared" si="46"/>
        <v>8.0934065934065931</v>
      </c>
      <c r="H51" s="10">
        <f t="shared" ref="H51:I51" si="47">+H41/H47</f>
        <v>7.544142213068131</v>
      </c>
      <c r="I51" s="10">
        <f t="shared" si="47"/>
        <v>7.1842935245965167</v>
      </c>
      <c r="J51" s="10">
        <f t="shared" ref="J51:K51" si="48">+J41/J47</f>
        <v>7.1470937129300118</v>
      </c>
      <c r="K51" s="10">
        <f t="shared" si="48"/>
        <v>4.7370786516853931</v>
      </c>
      <c r="L51" s="10">
        <f t="shared" ref="L51:P51" si="49">+L41/L47</f>
        <v>4.9483649289099523</v>
      </c>
      <c r="M51" s="10">
        <f t="shared" si="49"/>
        <v>5.0850084745762718</v>
      </c>
      <c r="N51" s="10">
        <f t="shared" si="49"/>
        <v>5.5145229357798167</v>
      </c>
      <c r="O51" s="10">
        <f t="shared" si="49"/>
        <v>6.028526211671613</v>
      </c>
      <c r="P51" s="10">
        <f t="shared" si="49"/>
        <v>6.1224489795918364</v>
      </c>
    </row>
    <row r="52" spans="1:19" s="10" customFormat="1" x14ac:dyDescent="0.2">
      <c r="A52" s="10" t="s">
        <v>4</v>
      </c>
      <c r="B52" s="10">
        <f t="shared" ref="B52" si="50">+(B41-B44)/B47</f>
        <v>6.2343290598290606</v>
      </c>
      <c r="C52" s="10">
        <f t="shared" ref="C52:H52" si="51">+(C41-C44)/C47</f>
        <v>6.2413012392754998</v>
      </c>
      <c r="D52" s="10">
        <f t="shared" si="51"/>
        <v>5.715622076707203</v>
      </c>
      <c r="E52" s="10">
        <f t="shared" si="51"/>
        <v>7.0747039106145255</v>
      </c>
      <c r="F52" s="10">
        <f t="shared" si="51"/>
        <v>7.1662504218697274</v>
      </c>
      <c r="G52" s="10">
        <f t="shared" si="51"/>
        <v>7.2800934065934069</v>
      </c>
      <c r="H52" s="10">
        <f t="shared" si="51"/>
        <v>7.3821826520653593</v>
      </c>
      <c r="I52" s="10">
        <f t="shared" ref="I52" si="52">+(I41-I44)/I47</f>
        <v>7.131231107692857</v>
      </c>
      <c r="J52" s="10">
        <f t="shared" ref="J52:K52" si="53">+(J41-J44)/J47</f>
        <v>7.0284697508896796</v>
      </c>
      <c r="K52" s="10">
        <f t="shared" si="53"/>
        <v>4.5720149812734086</v>
      </c>
      <c r="L52" s="10">
        <f t="shared" ref="L52:P52" si="54">+(L41-L44)/L47</f>
        <v>4.8469589257503953</v>
      </c>
      <c r="M52" s="10">
        <f t="shared" si="54"/>
        <v>4.8694830508474576</v>
      </c>
      <c r="N52" s="10">
        <f t="shared" si="54"/>
        <v>4.8530733944954125</v>
      </c>
      <c r="O52" s="10">
        <f t="shared" si="54"/>
        <v>5.1664391691394664</v>
      </c>
      <c r="P52" s="10">
        <f t="shared" si="54"/>
        <v>5.7592551020408171</v>
      </c>
    </row>
    <row r="53" spans="1:19" s="6" customFormat="1" x14ac:dyDescent="0.2">
      <c r="A53" s="6" t="s">
        <v>3</v>
      </c>
      <c r="B53" s="6">
        <f t="shared" ref="B53:C53" si="55">+B48/B41</f>
        <v>-7.8588762701733463E-3</v>
      </c>
      <c r="C53" s="6">
        <f t="shared" si="55"/>
        <v>-8.8367995018679979E-3</v>
      </c>
      <c r="D53" s="6">
        <f t="shared" ref="D53" si="56">+D48/D41</f>
        <v>-1.2415768194070084E-2</v>
      </c>
      <c r="E53" s="6">
        <f t="shared" ref="E53" si="57">+E48/E41</f>
        <v>-2.3052705551651443E-2</v>
      </c>
      <c r="F53" s="6">
        <f t="shared" ref="F53:G53" si="58">+F48/F41</f>
        <v>-4.11991584852735E-3</v>
      </c>
      <c r="G53" s="6">
        <f t="shared" si="58"/>
        <v>-4.5023761031907656E-3</v>
      </c>
      <c r="H53" s="6">
        <f t="shared" ref="H53:I53" si="59">+H48/H41</f>
        <v>6.0396825396825411E-3</v>
      </c>
      <c r="I53" s="6">
        <f t="shared" si="59"/>
        <v>7.853112033195022E-3</v>
      </c>
      <c r="J53" s="6">
        <f t="shared" ref="J53:K53" si="60">+J48/J41</f>
        <v>1.7926141078838175E-2</v>
      </c>
      <c r="K53" s="6">
        <f t="shared" si="60"/>
        <v>3.2960151802656545E-2</v>
      </c>
      <c r="L53" s="6">
        <f t="shared" ref="L53:P53" si="61">+L48/L41</f>
        <v>2.7802120795641566E-2</v>
      </c>
      <c r="M53" s="6">
        <f t="shared" si="61"/>
        <v>2.6438634003909792E-2</v>
      </c>
      <c r="N53" s="6">
        <f t="shared" si="61"/>
        <v>2.0388199300263022E-2</v>
      </c>
      <c r="O53" s="6">
        <f t="shared" si="61"/>
        <v>2.9456064474210963E-2</v>
      </c>
      <c r="P53" s="6">
        <f t="shared" si="61"/>
        <v>2.3383333333333329E-2</v>
      </c>
    </row>
    <row r="54" spans="1:19" s="6" customFormat="1" x14ac:dyDescent="0.2">
      <c r="A54" s="8" t="s">
        <v>2</v>
      </c>
      <c r="B54" s="9"/>
      <c r="C54" s="9"/>
      <c r="D54" s="9"/>
      <c r="E54" s="9"/>
      <c r="F54" s="9"/>
      <c r="G54" s="9"/>
      <c r="H54" s="9"/>
      <c r="I54" s="9"/>
      <c r="J54" s="9"/>
      <c r="K54" s="9"/>
      <c r="L54" s="9"/>
      <c r="M54" s="9"/>
      <c r="N54" s="9"/>
      <c r="O54" s="9"/>
      <c r="P54" s="9"/>
      <c r="Q54" s="9"/>
      <c r="R54" s="9"/>
      <c r="S54" s="9"/>
    </row>
    <row r="55" spans="1:19" s="6" customFormat="1" x14ac:dyDescent="0.2">
      <c r="A55" s="6" t="s">
        <v>1</v>
      </c>
      <c r="B55" s="7">
        <f t="shared" ref="B55:C55" si="62">IF(B42=0,IF(B54="","","*"&amp;TEXT(B54,"0.0x")),(B41+B42-B44)/B47)</f>
        <v>13.217235042735043</v>
      </c>
      <c r="C55" s="7">
        <f t="shared" si="62"/>
        <v>14.02967111534795</v>
      </c>
      <c r="D55" s="7">
        <f t="shared" ref="D55" si="63">IF(D42=0,IF(D54="","","*"&amp;TEXT(D54,"0.0x")),(D41+D42-D44)/D47)</f>
        <v>13.358278765201122</v>
      </c>
      <c r="E55" s="7">
        <f t="shared" ref="E55" si="64">IF(E42=0,IF(E54="","","*"&amp;TEXT(E54,"0.0x")),(E41+E42-E44)/E47)</f>
        <v>15.10822346368715</v>
      </c>
      <c r="F55" s="7">
        <f t="shared" ref="F55:G55" si="65">IF(F42=0,IF(F54="","","*"&amp;TEXT(F54,"0.0x")),(F41+F42-F44)/F47)</f>
        <v>15.254899313758578</v>
      </c>
      <c r="G55" s="7">
        <f t="shared" si="65"/>
        <v>15.181192307692307</v>
      </c>
      <c r="H55" s="7">
        <f t="shared" ref="H55" si="66">IF(H42=0,IF(H54="","","*"&amp;TEXT(H54,"0.0x")),(H41+H42-H44)/H47)</f>
        <v>15.992084638090732</v>
      </c>
      <c r="I55" s="7">
        <f t="shared" ref="I55:J55" si="67">IF(I42=0,IF(I54="","","*"&amp;TEXT(I54,"0.0x")),(I41+I42-I44)/I47)</f>
        <v>15.704686782688535</v>
      </c>
      <c r="J55" s="7">
        <f t="shared" si="67"/>
        <v>15.557532621589562</v>
      </c>
      <c r="K55" s="7">
        <f t="shared" ref="K55" si="68">IF(K42=0,IF(K54="","","*"&amp;TEXT(K54,"0.0x")),(K41+K42-K44)/K47)</f>
        <v>8.3173333333333339</v>
      </c>
      <c r="L55" s="7">
        <f t="shared" ref="L55:P55" si="69">IF(L42=0,IF(L54="","","*"&amp;TEXT(L54,"0.0x")),(L41+L42-L44)/L47)</f>
        <v>8.7964060031595572</v>
      </c>
      <c r="M55" s="7">
        <f t="shared" si="69"/>
        <v>9.1067711864406782</v>
      </c>
      <c r="N55" s="7">
        <f t="shared" si="69"/>
        <v>9.4402293577981666</v>
      </c>
      <c r="O55" s="7">
        <f t="shared" si="69"/>
        <v>10.112037586547972</v>
      </c>
      <c r="P55" s="7">
        <f t="shared" si="69"/>
        <v>10.861295918367347</v>
      </c>
      <c r="Q55" s="7"/>
      <c r="R55" s="7" t="str">
        <f t="shared" ref="R55:S55" si="70">IF(R42=0,IF(R54="","","*"&amp;TEXT(R54,"0.0x")),(R41+R42-R44)/R47)</f>
        <v/>
      </c>
      <c r="S55" s="7" t="str">
        <f t="shared" si="70"/>
        <v/>
      </c>
    </row>
    <row r="57" spans="1:19" ht="114.75" x14ac:dyDescent="0.2">
      <c r="A57" s="5" t="s">
        <v>0</v>
      </c>
      <c r="B57" s="4" t="s">
        <v>104</v>
      </c>
      <c r="C57" s="4" t="s">
        <v>104</v>
      </c>
      <c r="D57" s="4" t="s">
        <v>104</v>
      </c>
      <c r="E57" s="4" t="s">
        <v>104</v>
      </c>
      <c r="F57" s="4" t="s">
        <v>104</v>
      </c>
      <c r="G57" s="4" t="s">
        <v>104</v>
      </c>
      <c r="H57" s="4" t="s">
        <v>367</v>
      </c>
      <c r="I57" s="4" t="s">
        <v>104</v>
      </c>
      <c r="J57" s="4" t="s">
        <v>429</v>
      </c>
      <c r="K57" s="4" t="s">
        <v>367</v>
      </c>
      <c r="L57" s="4" t="s">
        <v>104</v>
      </c>
      <c r="M57" s="4" t="s">
        <v>104</v>
      </c>
      <c r="N57" s="4" t="s">
        <v>104</v>
      </c>
      <c r="O57" s="4" t="s">
        <v>104</v>
      </c>
      <c r="P57" s="4"/>
      <c r="Q57" s="4" t="s">
        <v>184</v>
      </c>
      <c r="R57" s="4"/>
      <c r="S57" s="4"/>
    </row>
    <row r="58" spans="1:19" x14ac:dyDescent="0.2">
      <c r="A58" s="2"/>
      <c r="B58" s="3"/>
      <c r="C58" s="3"/>
      <c r="D58" s="3"/>
      <c r="E58" s="3"/>
      <c r="F58" s="3"/>
      <c r="G58" s="3"/>
      <c r="H58" s="3"/>
      <c r="I58" s="3"/>
      <c r="J58" s="3"/>
      <c r="K58" s="3"/>
      <c r="L58" s="3"/>
      <c r="M58" s="3"/>
      <c r="N58" s="3"/>
      <c r="O58" s="3"/>
      <c r="P58" s="3"/>
      <c r="Q58" s="3"/>
    </row>
    <row r="59" spans="1:19" x14ac:dyDescent="0.2">
      <c r="A59" s="2"/>
    </row>
  </sheetData>
  <pageMargins left="0.7" right="0.7" top="0.75" bottom="0.75" header="0.3" footer="0.3"/>
  <pageSetup orientation="portrait" r:id="rId1"/>
  <ignoredErrors>
    <ignoredError sqref="K46 Q49 L46:P49 C47:J47 B46:I46" formulaRange="1"/>
  </ignoredErrors>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A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4" width="10.7109375" style="1" customWidth="1"/>
    <col min="25" max="16384" width="9.140625" style="1"/>
  </cols>
  <sheetData>
    <row r="2" spans="1:24" x14ac:dyDescent="0.2">
      <c r="A2" s="34" t="s">
        <v>45</v>
      </c>
      <c r="B2" s="1" t="s">
        <v>189</v>
      </c>
    </row>
    <row r="3" spans="1:24" s="35" customFormat="1" x14ac:dyDescent="0.2">
      <c r="A3" s="36" t="s">
        <v>43</v>
      </c>
      <c r="B3" s="35" t="s">
        <v>188</v>
      </c>
    </row>
    <row r="4" spans="1:24" x14ac:dyDescent="0.2">
      <c r="A4" s="34" t="s">
        <v>41</v>
      </c>
      <c r="B4" s="1" t="s">
        <v>40</v>
      </c>
    </row>
    <row r="5" spans="1:24" x14ac:dyDescent="0.2">
      <c r="A5" s="34" t="s">
        <v>39</v>
      </c>
    </row>
    <row r="6" spans="1:24" x14ac:dyDescent="0.2">
      <c r="A6" s="34" t="s">
        <v>38</v>
      </c>
      <c r="B6" s="1">
        <v>3</v>
      </c>
    </row>
    <row r="7" spans="1:24" x14ac:dyDescent="0.2">
      <c r="A7" s="34" t="s">
        <v>37</v>
      </c>
      <c r="B7" s="1" t="s">
        <v>381</v>
      </c>
    </row>
    <row r="8" spans="1:24" x14ac:dyDescent="0.2">
      <c r="A8" s="34" t="s">
        <v>281</v>
      </c>
      <c r="B8" s="1" t="s">
        <v>305</v>
      </c>
    </row>
    <row r="9" spans="1:24" x14ac:dyDescent="0.2">
      <c r="A9" s="22"/>
    </row>
    <row r="10" spans="1:24"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v>43008</v>
      </c>
      <c r="Q10" s="33">
        <v>42916</v>
      </c>
      <c r="R10" s="33">
        <v>42825</v>
      </c>
      <c r="S10" s="33">
        <v>42735</v>
      </c>
      <c r="T10" s="33">
        <v>42643</v>
      </c>
      <c r="U10" s="33">
        <v>42551</v>
      </c>
      <c r="V10" s="33">
        <v>42460</v>
      </c>
      <c r="W10" s="33">
        <v>42369</v>
      </c>
      <c r="X10" s="33">
        <v>42277</v>
      </c>
    </row>
    <row r="12" spans="1:24" x14ac:dyDescent="0.2">
      <c r="A12" s="15" t="s">
        <v>35</v>
      </c>
      <c r="B12" s="19">
        <v>147.1</v>
      </c>
      <c r="C12" s="19">
        <v>110.43100000000004</v>
      </c>
      <c r="D12" s="19">
        <v>98.968999999999994</v>
      </c>
      <c r="E12" s="19">
        <v>84.105999999999995</v>
      </c>
      <c r="F12" s="19">
        <v>91</v>
      </c>
      <c r="G12" s="19">
        <v>79.3</v>
      </c>
      <c r="H12" s="19">
        <v>73.415999999999997</v>
      </c>
      <c r="I12" s="19">
        <v>94.105000000000004</v>
      </c>
      <c r="J12" s="19">
        <v>97</v>
      </c>
      <c r="K12" s="19">
        <v>92.3</v>
      </c>
      <c r="L12" s="19">
        <v>72.3</v>
      </c>
      <c r="M12" s="19">
        <v>99.5</v>
      </c>
      <c r="N12" s="19">
        <v>108.9</v>
      </c>
      <c r="O12" s="19">
        <v>79.659000000000006</v>
      </c>
      <c r="P12" s="19">
        <v>68.644999999999996</v>
      </c>
      <c r="Q12" s="19">
        <v>87.701999999999998</v>
      </c>
      <c r="R12" s="19">
        <v>91.19</v>
      </c>
      <c r="S12" s="19">
        <v>74.7</v>
      </c>
      <c r="T12" s="19">
        <v>55.8</v>
      </c>
      <c r="U12" s="19">
        <v>90.2</v>
      </c>
      <c r="V12" s="19">
        <v>97</v>
      </c>
      <c r="W12" s="19">
        <v>65.7</v>
      </c>
      <c r="X12" s="19">
        <v>56.5</v>
      </c>
    </row>
    <row r="13" spans="1:24" s="28" customFormat="1" x14ac:dyDescent="0.2">
      <c r="A13" s="28" t="s">
        <v>34</v>
      </c>
      <c r="B13" s="28">
        <f t="shared" ref="B13:T13" si="0">+B12/F12-1</f>
        <v>0.61648351648351651</v>
      </c>
      <c r="C13" s="28">
        <f t="shared" si="0"/>
        <v>0.3925725094577559</v>
      </c>
      <c r="D13" s="28">
        <f t="shared" si="0"/>
        <v>0.34805764411027562</v>
      </c>
      <c r="E13" s="28">
        <f t="shared" si="0"/>
        <v>-0.10625365283459975</v>
      </c>
      <c r="F13" s="28">
        <f t="shared" si="0"/>
        <v>-6.1855670103092786E-2</v>
      </c>
      <c r="G13" s="28">
        <f t="shared" si="0"/>
        <v>-0.14084507042253525</v>
      </c>
      <c r="H13" s="28">
        <f t="shared" si="0"/>
        <v>1.5435684647302939E-2</v>
      </c>
      <c r="I13" s="28">
        <f t="shared" si="0"/>
        <v>-5.4221105527638147E-2</v>
      </c>
      <c r="J13" s="28">
        <f t="shared" si="0"/>
        <v>-0.10927456382001843</v>
      </c>
      <c r="K13" s="28">
        <f t="shared" si="0"/>
        <v>0.15868891148520547</v>
      </c>
      <c r="L13" s="28">
        <f t="shared" si="0"/>
        <v>5.3244955932697291E-2</v>
      </c>
      <c r="M13" s="28">
        <f t="shared" si="0"/>
        <v>0.13452372807917734</v>
      </c>
      <c r="N13" s="28">
        <f t="shared" si="0"/>
        <v>0.19420989143546441</v>
      </c>
      <c r="O13" s="28">
        <f t="shared" si="0"/>
        <v>6.638554216867476E-2</v>
      </c>
      <c r="P13" s="28">
        <f t="shared" si="0"/>
        <v>0.23019713261648755</v>
      </c>
      <c r="Q13" s="28">
        <f t="shared" si="0"/>
        <v>-2.7694013303769416E-2</v>
      </c>
      <c r="R13" s="28">
        <f t="shared" si="0"/>
        <v>-5.9896907216494877E-2</v>
      </c>
      <c r="S13" s="28">
        <f t="shared" si="0"/>
        <v>0.13698630136986312</v>
      </c>
      <c r="T13" s="28">
        <f t="shared" si="0"/>
        <v>-1.2389380530973493E-2</v>
      </c>
    </row>
    <row r="14" spans="1:24"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1"/>
      <c r="V14" s="31"/>
      <c r="W14" s="31"/>
      <c r="X14" s="31"/>
    </row>
    <row r="16" spans="1:24" s="22" customFormat="1" x14ac:dyDescent="0.2">
      <c r="A16" s="30" t="s">
        <v>31</v>
      </c>
      <c r="B16" s="29">
        <v>42.199999999999989</v>
      </c>
      <c r="C16" s="29">
        <v>22.1</v>
      </c>
      <c r="D16" s="29">
        <v>19</v>
      </c>
      <c r="E16" s="29">
        <v>16.2</v>
      </c>
      <c r="F16" s="29">
        <v>16.2</v>
      </c>
      <c r="G16" s="29">
        <v>10.624999999999961</v>
      </c>
      <c r="H16" s="29">
        <v>6.4909999999999748</v>
      </c>
      <c r="I16" s="29">
        <v>15</v>
      </c>
      <c r="J16" s="29">
        <v>15</v>
      </c>
      <c r="K16" s="29">
        <v>14.5</v>
      </c>
      <c r="L16" s="29">
        <v>6.3</v>
      </c>
      <c r="M16" s="29">
        <v>25.8</v>
      </c>
      <c r="N16" s="29">
        <v>28</v>
      </c>
      <c r="O16" s="29">
        <v>17.125000000000007</v>
      </c>
      <c r="P16" s="29">
        <v>7.6119999999999948</v>
      </c>
      <c r="Q16" s="29">
        <v>19.495999999999995</v>
      </c>
      <c r="R16" s="29">
        <v>18.413</v>
      </c>
      <c r="S16" s="29">
        <v>13.100000000000001</v>
      </c>
      <c r="T16" s="29">
        <v>5.1999999999999975</v>
      </c>
      <c r="U16" s="29">
        <v>15.900000000000002</v>
      </c>
      <c r="V16" s="29">
        <v>23.9</v>
      </c>
      <c r="W16" s="29">
        <v>10.200000000000001</v>
      </c>
      <c r="X16" s="29">
        <v>4.400000000000003</v>
      </c>
    </row>
    <row r="17" spans="1:24" s="28" customFormat="1" x14ac:dyDescent="0.2">
      <c r="A17" s="28" t="s">
        <v>30</v>
      </c>
      <c r="B17" s="28">
        <f t="shared" ref="B17:C17" si="1">+B16/B12</f>
        <v>0.28687967369136635</v>
      </c>
      <c r="C17" s="28">
        <f t="shared" si="1"/>
        <v>0.20012496491021536</v>
      </c>
      <c r="D17" s="28">
        <f t="shared" ref="D17:E17" si="2">+D16/D12</f>
        <v>0.19197930665157778</v>
      </c>
      <c r="E17" s="28">
        <f t="shared" si="2"/>
        <v>0.19261408222956747</v>
      </c>
      <c r="F17" s="28">
        <f t="shared" ref="F17:G17" si="3">+F16/F12</f>
        <v>0.17802197802197803</v>
      </c>
      <c r="G17" s="28">
        <f t="shared" si="3"/>
        <v>0.13398486759142447</v>
      </c>
      <c r="H17" s="28">
        <f t="shared" ref="H17:I17" si="4">+H16/H12</f>
        <v>8.8413969706875539E-2</v>
      </c>
      <c r="I17" s="28">
        <f t="shared" si="4"/>
        <v>0.15939641889378883</v>
      </c>
      <c r="J17" s="28">
        <f t="shared" ref="J17:K17" si="5">+J16/J12</f>
        <v>0.15463917525773196</v>
      </c>
      <c r="K17" s="28">
        <f t="shared" si="5"/>
        <v>0.15709642470205851</v>
      </c>
      <c r="L17" s="28">
        <f t="shared" ref="L17:X17" si="6">+L16/L12</f>
        <v>8.7136929460580909E-2</v>
      </c>
      <c r="M17" s="28">
        <f t="shared" si="6"/>
        <v>0.25929648241206033</v>
      </c>
      <c r="N17" s="28">
        <f t="shared" si="6"/>
        <v>0.25711662075298436</v>
      </c>
      <c r="O17" s="28">
        <f t="shared" si="6"/>
        <v>0.21497884733677305</v>
      </c>
      <c r="P17" s="28">
        <f t="shared" si="6"/>
        <v>0.11088935829266509</v>
      </c>
      <c r="Q17" s="28">
        <f t="shared" si="6"/>
        <v>0.22229823721237824</v>
      </c>
      <c r="R17" s="28">
        <f t="shared" si="6"/>
        <v>0.20191907007347298</v>
      </c>
      <c r="S17" s="28">
        <f t="shared" si="6"/>
        <v>0.17536813922356093</v>
      </c>
      <c r="T17" s="28">
        <f t="shared" si="6"/>
        <v>9.3189964157706057E-2</v>
      </c>
      <c r="U17" s="28">
        <f t="shared" si="6"/>
        <v>0.17627494456762752</v>
      </c>
      <c r="V17" s="28">
        <f t="shared" si="6"/>
        <v>0.24639175257731957</v>
      </c>
      <c r="W17" s="28">
        <f t="shared" si="6"/>
        <v>0.15525114155251143</v>
      </c>
      <c r="X17" s="28">
        <f t="shared" si="6"/>
        <v>7.787610619469032E-2</v>
      </c>
    </row>
    <row r="18" spans="1:24" s="23" customFormat="1" x14ac:dyDescent="0.2"/>
    <row r="19" spans="1:24"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row>
    <row r="20" spans="1:24"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row>
    <row r="21" spans="1:24"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2.5920000000000001</v>
      </c>
      <c r="P21" s="19">
        <v>2.0819999999999999</v>
      </c>
      <c r="Q21" s="19">
        <v>2.0609999999999999</v>
      </c>
      <c r="R21" s="19">
        <v>4.6829999999999998</v>
      </c>
      <c r="S21" s="19">
        <v>3</v>
      </c>
      <c r="T21" s="19">
        <v>0.3</v>
      </c>
      <c r="U21" s="19">
        <v>5.2</v>
      </c>
      <c r="V21" s="19">
        <v>0.7</v>
      </c>
      <c r="W21" s="19">
        <v>6</v>
      </c>
      <c r="X21" s="19">
        <v>0.4</v>
      </c>
    </row>
    <row r="22" spans="1:24" s="22" customFormat="1" x14ac:dyDescent="0.2">
      <c r="A22" s="22" t="s">
        <v>23</v>
      </c>
      <c r="B22" s="20">
        <f t="shared" ref="B22:C22" si="7">SUM(B16,B19:B21)</f>
        <v>42.199999999999989</v>
      </c>
      <c r="C22" s="20">
        <f t="shared" si="7"/>
        <v>22.1</v>
      </c>
      <c r="D22" s="20">
        <f t="shared" ref="D22:E22" si="8">SUM(D16,D19:D21)</f>
        <v>19</v>
      </c>
      <c r="E22" s="20">
        <f t="shared" si="8"/>
        <v>16.2</v>
      </c>
      <c r="F22" s="20">
        <f t="shared" ref="F22:G22" si="9">SUM(F16,F19:F21)</f>
        <v>16.2</v>
      </c>
      <c r="G22" s="20">
        <f t="shared" si="9"/>
        <v>10.624999999999961</v>
      </c>
      <c r="H22" s="20">
        <f t="shared" ref="H22:I22" si="10">SUM(H16,H19:H21)</f>
        <v>6.4909999999999748</v>
      </c>
      <c r="I22" s="20">
        <f t="shared" si="10"/>
        <v>15</v>
      </c>
      <c r="J22" s="20">
        <f t="shared" ref="J22:X22" si="11">SUM(J16,J19:J21)</f>
        <v>15</v>
      </c>
      <c r="K22" s="20">
        <f t="shared" si="11"/>
        <v>14.5</v>
      </c>
      <c r="L22" s="20">
        <f t="shared" si="11"/>
        <v>6.3</v>
      </c>
      <c r="M22" s="20">
        <f t="shared" si="11"/>
        <v>25.8</v>
      </c>
      <c r="N22" s="20">
        <f t="shared" si="11"/>
        <v>28</v>
      </c>
      <c r="O22" s="20">
        <f t="shared" si="11"/>
        <v>19.717000000000006</v>
      </c>
      <c r="P22" s="20">
        <f t="shared" si="11"/>
        <v>9.6939999999999955</v>
      </c>
      <c r="Q22" s="20">
        <f t="shared" si="11"/>
        <v>21.556999999999995</v>
      </c>
      <c r="R22" s="20">
        <f t="shared" si="11"/>
        <v>23.096</v>
      </c>
      <c r="S22" s="20">
        <f t="shared" si="11"/>
        <v>16.100000000000001</v>
      </c>
      <c r="T22" s="20">
        <f t="shared" si="11"/>
        <v>5.4999999999999973</v>
      </c>
      <c r="U22" s="20">
        <f t="shared" si="11"/>
        <v>21.1</v>
      </c>
      <c r="V22" s="20">
        <f t="shared" si="11"/>
        <v>24.599999999999998</v>
      </c>
      <c r="W22" s="20">
        <f t="shared" si="11"/>
        <v>16.200000000000003</v>
      </c>
      <c r="X22" s="20">
        <f t="shared" si="11"/>
        <v>4.8000000000000034</v>
      </c>
    </row>
    <row r="23" spans="1:24" s="22" customFormat="1" x14ac:dyDescent="0.2">
      <c r="B23" s="20"/>
      <c r="C23" s="20"/>
      <c r="D23" s="20"/>
      <c r="E23" s="20"/>
      <c r="F23" s="20"/>
      <c r="G23" s="20"/>
      <c r="H23" s="20"/>
      <c r="I23" s="20"/>
      <c r="J23" s="20"/>
      <c r="K23" s="20"/>
      <c r="L23" s="20"/>
      <c r="M23" s="20"/>
      <c r="N23" s="20"/>
      <c r="O23" s="20"/>
      <c r="P23" s="20"/>
      <c r="Q23" s="20"/>
      <c r="R23" s="20"/>
      <c r="S23" s="20"/>
      <c r="T23" s="20"/>
      <c r="U23" s="20"/>
      <c r="V23" s="20"/>
      <c r="W23" s="20"/>
      <c r="X23" s="20"/>
    </row>
    <row r="24" spans="1:24" s="22" customFormat="1" x14ac:dyDescent="0.2">
      <c r="A24" s="22" t="s">
        <v>27</v>
      </c>
      <c r="B24" s="20">
        <f t="shared" ref="B24:U24" si="12">SUM(B22:E22)</f>
        <v>99.499999999999986</v>
      </c>
      <c r="C24" s="20">
        <f t="shared" si="12"/>
        <v>73.5</v>
      </c>
      <c r="D24" s="20">
        <f t="shared" si="12"/>
        <v>62.024999999999963</v>
      </c>
      <c r="E24" s="20">
        <f t="shared" si="12"/>
        <v>49.515999999999934</v>
      </c>
      <c r="F24" s="20">
        <f t="shared" si="12"/>
        <v>48.315999999999931</v>
      </c>
      <c r="G24" s="20">
        <f t="shared" si="12"/>
        <v>47.115999999999936</v>
      </c>
      <c r="H24" s="20">
        <f t="shared" si="12"/>
        <v>50.990999999999971</v>
      </c>
      <c r="I24" s="20">
        <f t="shared" si="12"/>
        <v>50.8</v>
      </c>
      <c r="J24" s="20">
        <f t="shared" si="12"/>
        <v>61.599999999999994</v>
      </c>
      <c r="K24" s="20">
        <f t="shared" si="12"/>
        <v>74.599999999999994</v>
      </c>
      <c r="L24" s="20">
        <f t="shared" si="12"/>
        <v>79.817000000000007</v>
      </c>
      <c r="M24" s="20">
        <f t="shared" si="12"/>
        <v>83.210999999999984</v>
      </c>
      <c r="N24" s="20">
        <f t="shared" si="12"/>
        <v>78.967999999999989</v>
      </c>
      <c r="O24" s="20">
        <f t="shared" si="12"/>
        <v>74.063999999999993</v>
      </c>
      <c r="P24" s="20">
        <f t="shared" si="12"/>
        <v>70.447000000000003</v>
      </c>
      <c r="Q24" s="20">
        <f t="shared" si="12"/>
        <v>66.252999999999986</v>
      </c>
      <c r="R24" s="20">
        <f t="shared" si="12"/>
        <v>65.795999999999992</v>
      </c>
      <c r="S24" s="20">
        <f t="shared" si="12"/>
        <v>67.3</v>
      </c>
      <c r="T24" s="20">
        <f t="shared" si="12"/>
        <v>67.400000000000006</v>
      </c>
      <c r="U24" s="20">
        <f t="shared" si="12"/>
        <v>66.7</v>
      </c>
      <c r="V24" s="20"/>
      <c r="W24" s="20"/>
      <c r="X24" s="20"/>
    </row>
    <row r="25" spans="1:24"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v>0</v>
      </c>
      <c r="U25" s="27">
        <v>0</v>
      </c>
      <c r="V25" s="27"/>
      <c r="W25" s="27"/>
      <c r="X25" s="27"/>
    </row>
    <row r="26" spans="1:24"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6"/>
      <c r="W26" s="26"/>
      <c r="X26" s="26"/>
    </row>
    <row r="27" spans="1:24" s="24" customFormat="1" x14ac:dyDescent="0.2">
      <c r="A27" s="22" t="s">
        <v>24</v>
      </c>
      <c r="B27" s="20">
        <f t="shared" ref="B27:C27" si="13">SUM(B24:B26)</f>
        <v>99.499999999999986</v>
      </c>
      <c r="C27" s="20">
        <f t="shared" si="13"/>
        <v>73.5</v>
      </c>
      <c r="D27" s="20">
        <f t="shared" ref="D27:E27" si="14">SUM(D24:D26)</f>
        <v>62.024999999999963</v>
      </c>
      <c r="E27" s="20">
        <f t="shared" si="14"/>
        <v>49.515999999999934</v>
      </c>
      <c r="F27" s="20">
        <f t="shared" ref="F27:G27" si="15">SUM(F24:F26)</f>
        <v>48.315999999999931</v>
      </c>
      <c r="G27" s="20">
        <f t="shared" si="15"/>
        <v>47.115999999999936</v>
      </c>
      <c r="H27" s="20">
        <f t="shared" ref="H27:I27" si="16">SUM(H24:H26)</f>
        <v>50.990999999999971</v>
      </c>
      <c r="I27" s="20">
        <f t="shared" si="16"/>
        <v>50.8</v>
      </c>
      <c r="J27" s="20">
        <f t="shared" ref="J27:K27" si="17">SUM(J24:J26)</f>
        <v>61.599999999999994</v>
      </c>
      <c r="K27" s="20">
        <f t="shared" si="17"/>
        <v>74.599999999999994</v>
      </c>
      <c r="L27" s="20">
        <f t="shared" ref="L27:U27" si="18">SUM(L24:L26)</f>
        <v>79.817000000000007</v>
      </c>
      <c r="M27" s="20">
        <f t="shared" si="18"/>
        <v>83.210999999999984</v>
      </c>
      <c r="N27" s="20">
        <f t="shared" si="18"/>
        <v>78.967999999999989</v>
      </c>
      <c r="O27" s="20">
        <f t="shared" si="18"/>
        <v>74.063999999999993</v>
      </c>
      <c r="P27" s="20">
        <f t="shared" si="18"/>
        <v>70.447000000000003</v>
      </c>
      <c r="Q27" s="20">
        <f t="shared" si="18"/>
        <v>66.252999999999986</v>
      </c>
      <c r="R27" s="20">
        <f t="shared" si="18"/>
        <v>65.795999999999992</v>
      </c>
      <c r="S27" s="20">
        <f t="shared" si="18"/>
        <v>67.3</v>
      </c>
      <c r="T27" s="20">
        <f t="shared" si="18"/>
        <v>67.400000000000006</v>
      </c>
      <c r="U27" s="20">
        <f t="shared" si="18"/>
        <v>66.7</v>
      </c>
      <c r="V27" s="25"/>
      <c r="W27" s="25"/>
      <c r="X27" s="25"/>
    </row>
    <row r="28" spans="1:24" s="23" customFormat="1" x14ac:dyDescent="0.2"/>
    <row r="29" spans="1:24" s="22" customFormat="1" x14ac:dyDescent="0.2">
      <c r="A29" s="22" t="s">
        <v>23</v>
      </c>
      <c r="B29" s="20">
        <f t="shared" ref="B29" si="19">B22</f>
        <v>42.199999999999989</v>
      </c>
      <c r="C29" s="20">
        <f t="shared" ref="C29:D29" si="20">C22</f>
        <v>22.1</v>
      </c>
      <c r="D29" s="20">
        <f t="shared" si="20"/>
        <v>19</v>
      </c>
      <c r="E29" s="20">
        <f t="shared" ref="E29:F29" si="21">E22</f>
        <v>16.2</v>
      </c>
      <c r="F29" s="20">
        <f t="shared" si="21"/>
        <v>16.2</v>
      </c>
      <c r="G29" s="20">
        <f t="shared" ref="G29:H29" si="22">G22</f>
        <v>10.624999999999961</v>
      </c>
      <c r="H29" s="20">
        <f t="shared" si="22"/>
        <v>6.4909999999999748</v>
      </c>
      <c r="I29" s="20">
        <f t="shared" ref="I29:J29" si="23">I22</f>
        <v>15</v>
      </c>
      <c r="J29" s="20">
        <f t="shared" si="23"/>
        <v>15</v>
      </c>
      <c r="K29" s="20">
        <f t="shared" ref="K29:X29" si="24">K22</f>
        <v>14.5</v>
      </c>
      <c r="L29" s="20">
        <f t="shared" si="24"/>
        <v>6.3</v>
      </c>
      <c r="M29" s="20">
        <f t="shared" si="24"/>
        <v>25.8</v>
      </c>
      <c r="N29" s="20">
        <f t="shared" si="24"/>
        <v>28</v>
      </c>
      <c r="O29" s="20">
        <f t="shared" si="24"/>
        <v>19.717000000000006</v>
      </c>
      <c r="P29" s="20">
        <f t="shared" si="24"/>
        <v>9.6939999999999955</v>
      </c>
      <c r="Q29" s="20">
        <f t="shared" si="24"/>
        <v>21.556999999999995</v>
      </c>
      <c r="R29" s="20">
        <f t="shared" si="24"/>
        <v>23.096</v>
      </c>
      <c r="S29" s="20">
        <f t="shared" si="24"/>
        <v>16.100000000000001</v>
      </c>
      <c r="T29" s="20">
        <f t="shared" si="24"/>
        <v>5.4999999999999973</v>
      </c>
      <c r="U29" s="20">
        <f t="shared" si="24"/>
        <v>21.1</v>
      </c>
      <c r="V29" s="20">
        <f t="shared" si="24"/>
        <v>24.599999999999998</v>
      </c>
      <c r="W29" s="20">
        <f t="shared" si="24"/>
        <v>16.200000000000003</v>
      </c>
      <c r="X29" s="20">
        <f t="shared" si="24"/>
        <v>4.8000000000000034</v>
      </c>
    </row>
    <row r="30" spans="1:24" s="11" customFormat="1" x14ac:dyDescent="0.2">
      <c r="A30" s="19" t="s">
        <v>22</v>
      </c>
      <c r="B30" s="19">
        <v>-5.5</v>
      </c>
      <c r="C30" s="19">
        <v>-4.7999999999999989</v>
      </c>
      <c r="D30" s="19">
        <v>-5.0999999999999996</v>
      </c>
      <c r="E30" s="19">
        <v>-4.9000000000000004</v>
      </c>
      <c r="F30" s="19">
        <v>-3.9</v>
      </c>
      <c r="G30" s="19">
        <v>5.4379999999999988</v>
      </c>
      <c r="H30" s="19">
        <v>-7</v>
      </c>
      <c r="I30" s="19">
        <v>-8.6839999999999993</v>
      </c>
      <c r="J30" s="19">
        <v>-7.2539999999999996</v>
      </c>
      <c r="K30" s="19">
        <v>-3.8</v>
      </c>
      <c r="L30" s="19">
        <v>-3.7</v>
      </c>
      <c r="M30" s="19">
        <v>-4.3</v>
      </c>
      <c r="N30" s="19">
        <v>-4.5</v>
      </c>
      <c r="O30" s="19">
        <v>-4.5999999999999996</v>
      </c>
      <c r="P30" s="19">
        <v>-4.5999999999999996</v>
      </c>
      <c r="Q30" s="19">
        <v>-4.5</v>
      </c>
      <c r="R30" s="19">
        <v>-4.1139999999999999</v>
      </c>
      <c r="S30" s="19">
        <v>-3.7</v>
      </c>
      <c r="T30" s="19">
        <v>0</v>
      </c>
      <c r="U30" s="19">
        <v>-8.3000000000000007</v>
      </c>
      <c r="V30" s="19">
        <v>-9.5</v>
      </c>
      <c r="W30" s="19">
        <v>0</v>
      </c>
      <c r="X30" s="19">
        <v>-9.3000000000000007</v>
      </c>
    </row>
    <row r="31" spans="1:24" s="11" customFormat="1" x14ac:dyDescent="0.2">
      <c r="A31" s="19" t="s">
        <v>21</v>
      </c>
      <c r="B31" s="19">
        <v>-1</v>
      </c>
      <c r="C31" s="19">
        <v>-1.2269999999999999</v>
      </c>
      <c r="D31" s="19">
        <v>-1.173</v>
      </c>
      <c r="E31" s="19">
        <v>-0.5</v>
      </c>
      <c r="F31" s="19">
        <v>-1</v>
      </c>
      <c r="G31" s="19">
        <v>-0.86099999999999977</v>
      </c>
      <c r="H31" s="19">
        <v>-0.66200000000000037</v>
      </c>
      <c r="I31" s="19">
        <v>-1.0169999999999999</v>
      </c>
      <c r="J31" s="19">
        <v>-0.86</v>
      </c>
      <c r="K31" s="19">
        <v>-0.7</v>
      </c>
      <c r="L31" s="19">
        <v>-0.5</v>
      </c>
      <c r="M31" s="19">
        <v>-0.8</v>
      </c>
      <c r="N31" s="19">
        <v>-1</v>
      </c>
      <c r="O31" s="19">
        <v>-0.9</v>
      </c>
      <c r="P31" s="19">
        <v>-3.2999999999999918E-2</v>
      </c>
      <c r="Q31" s="19">
        <v>-1.3</v>
      </c>
      <c r="R31" s="19">
        <v>-1.9450000000000001</v>
      </c>
      <c r="S31" s="19">
        <v>-0.9</v>
      </c>
      <c r="T31" s="19">
        <v>-1.6</v>
      </c>
      <c r="U31" s="19">
        <v>-1.8</v>
      </c>
      <c r="V31" s="19">
        <v>-2.4</v>
      </c>
      <c r="W31" s="19">
        <v>-0.9</v>
      </c>
      <c r="X31" s="19">
        <v>-1.2</v>
      </c>
    </row>
    <row r="32" spans="1:24" s="11" customFormat="1" x14ac:dyDescent="0.2">
      <c r="A32" s="19" t="s">
        <v>20</v>
      </c>
      <c r="B32" s="19">
        <v>-17.8</v>
      </c>
      <c r="C32" s="19">
        <v>-6.6709999999999994</v>
      </c>
      <c r="D32" s="19">
        <v>-0.82900000000000107</v>
      </c>
      <c r="E32" s="19">
        <v>3.9</v>
      </c>
      <c r="F32" s="19">
        <v>-4.7</v>
      </c>
      <c r="G32" s="19">
        <v>11.77</v>
      </c>
      <c r="H32" s="19">
        <v>2.9899999999999993</v>
      </c>
      <c r="I32" s="19">
        <v>3.5470000000000006</v>
      </c>
      <c r="J32" s="19">
        <v>-13.707000000000001</v>
      </c>
      <c r="K32" s="19">
        <v>3.2</v>
      </c>
      <c r="L32" s="19">
        <v>9.1999999999999993</v>
      </c>
      <c r="M32" s="19">
        <v>5.8</v>
      </c>
      <c r="N32" s="19">
        <v>-5.9</v>
      </c>
      <c r="O32" s="19">
        <v>-2.5560000000000027</v>
      </c>
      <c r="P32" s="19">
        <v>5.1750000000000007</v>
      </c>
      <c r="Q32" s="19">
        <v>-6.3</v>
      </c>
      <c r="R32" s="19">
        <v>-4.7719999999999985</v>
      </c>
      <c r="S32" s="19">
        <v>-5.4</v>
      </c>
      <c r="T32" s="19">
        <v>8.3999999999999986</v>
      </c>
      <c r="U32" s="19">
        <v>-0.19999999999999857</v>
      </c>
      <c r="V32" s="19">
        <v>-5.8000000000000016</v>
      </c>
      <c r="W32" s="19">
        <v>0</v>
      </c>
      <c r="X32" s="19">
        <v>0.19999999999999929</v>
      </c>
    </row>
    <row r="33" spans="1:37"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f t="shared" ref="O33:X33" si="25">-O19-O20-O21</f>
        <v>-2.5920000000000001</v>
      </c>
      <c r="P33" s="19">
        <f t="shared" si="25"/>
        <v>-2.0819999999999999</v>
      </c>
      <c r="Q33" s="19">
        <f t="shared" si="25"/>
        <v>-2.0609999999999999</v>
      </c>
      <c r="R33" s="19">
        <f t="shared" si="25"/>
        <v>-4.6829999999999998</v>
      </c>
      <c r="S33" s="19">
        <f t="shared" si="25"/>
        <v>-3</v>
      </c>
      <c r="T33" s="19">
        <f t="shared" si="25"/>
        <v>-0.3</v>
      </c>
      <c r="U33" s="19">
        <f t="shared" si="25"/>
        <v>-5.2</v>
      </c>
      <c r="V33" s="19">
        <f t="shared" si="25"/>
        <v>-0.7</v>
      </c>
      <c r="W33" s="19">
        <f t="shared" si="25"/>
        <v>-6</v>
      </c>
      <c r="X33" s="19">
        <f t="shared" si="25"/>
        <v>-0.4</v>
      </c>
    </row>
    <row r="34" spans="1:37"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f t="shared" ref="O34:X34" si="26">O35-SUM(O29:O33)</f>
        <v>-0.29500000000000881</v>
      </c>
      <c r="P34" s="21">
        <f t="shared" si="26"/>
        <v>-9.4999999999998863E-2</v>
      </c>
      <c r="Q34" s="21">
        <f t="shared" si="26"/>
        <v>0.52200000000000557</v>
      </c>
      <c r="R34" s="21">
        <f t="shared" si="26"/>
        <v>1.0820000000000007</v>
      </c>
      <c r="S34" s="21">
        <f t="shared" si="26"/>
        <v>-4.3000000000000016</v>
      </c>
      <c r="T34" s="21">
        <f t="shared" si="26"/>
        <v>-1.899999999999995</v>
      </c>
      <c r="U34" s="21">
        <f t="shared" si="26"/>
        <v>0.29999999999999805</v>
      </c>
      <c r="V34" s="21">
        <f t="shared" si="26"/>
        <v>2.2000000000000028</v>
      </c>
      <c r="W34" s="21">
        <f t="shared" si="26"/>
        <v>-3.5000000000000027</v>
      </c>
      <c r="X34" s="21">
        <f t="shared" si="26"/>
        <v>-2.4000000000000021</v>
      </c>
    </row>
    <row r="35" spans="1:37" s="20" customFormat="1" x14ac:dyDescent="0.2">
      <c r="A35" s="20" t="s">
        <v>17</v>
      </c>
      <c r="B35" s="20">
        <v>16.799999999999986</v>
      </c>
      <c r="C35" s="20">
        <v>13.741</v>
      </c>
      <c r="D35" s="20">
        <v>12.694000000000003</v>
      </c>
      <c r="E35" s="20">
        <v>22.326000000000001</v>
      </c>
      <c r="F35" s="20">
        <v>5.4999999999999982</v>
      </c>
      <c r="G35" s="20">
        <v>15.984000000000002</v>
      </c>
      <c r="H35" s="20">
        <v>10.8</v>
      </c>
      <c r="I35" s="20">
        <v>14.359</v>
      </c>
      <c r="J35" s="20">
        <v>-1.5589999999999999</v>
      </c>
      <c r="K35" s="20">
        <f t="shared" ref="K35:N35" si="27">SUM(K29:K34)</f>
        <v>13.2</v>
      </c>
      <c r="L35" s="20">
        <f t="shared" si="27"/>
        <v>11.299999999999999</v>
      </c>
      <c r="M35" s="20">
        <f t="shared" si="27"/>
        <v>26.5</v>
      </c>
      <c r="N35" s="20">
        <f t="shared" si="27"/>
        <v>16.600000000000001</v>
      </c>
      <c r="O35" s="20">
        <v>8.7739999999999938</v>
      </c>
      <c r="P35" s="20">
        <v>8.0589999999999975</v>
      </c>
      <c r="Q35" s="20">
        <v>7.9179999999999993</v>
      </c>
      <c r="R35" s="20">
        <v>8.6640000000000015</v>
      </c>
      <c r="S35" s="20">
        <v>-1.2000000000000002</v>
      </c>
      <c r="T35" s="20">
        <v>10.1</v>
      </c>
      <c r="U35" s="20">
        <v>5.8999999999999986</v>
      </c>
      <c r="V35" s="20">
        <v>8.3999999999999986</v>
      </c>
      <c r="W35" s="20">
        <v>5.8</v>
      </c>
      <c r="X35" s="20">
        <v>-8.3000000000000007</v>
      </c>
    </row>
    <row r="36" spans="1:37" s="11" customFormat="1" x14ac:dyDescent="0.2">
      <c r="A36" s="19" t="s">
        <v>16</v>
      </c>
      <c r="B36" s="21">
        <v>-6.7</v>
      </c>
      <c r="C36" s="21">
        <v>-7.0960000000000001</v>
      </c>
      <c r="D36" s="21">
        <v>-6.6280000000000001</v>
      </c>
      <c r="E36" s="21">
        <v>-5.1999999999999993</v>
      </c>
      <c r="F36" s="21">
        <v>-6.1999999999999993</v>
      </c>
      <c r="G36" s="21">
        <v>-7.0510000000000002</v>
      </c>
      <c r="H36" s="21">
        <v>-8.4759999999999991</v>
      </c>
      <c r="I36" s="21">
        <v>-7.918000000000001</v>
      </c>
      <c r="J36" s="21">
        <v>-11.865</v>
      </c>
      <c r="K36" s="21">
        <v>-9.8000000000000007</v>
      </c>
      <c r="L36" s="21">
        <v>-8.5</v>
      </c>
      <c r="M36" s="21">
        <v>-8.3000000000000007</v>
      </c>
      <c r="N36" s="21">
        <v>-7.9</v>
      </c>
      <c r="O36" s="21">
        <v>-6.9</v>
      </c>
      <c r="P36" s="21">
        <f>-5.578-13.154-R36-Q36</f>
        <v>-6.4879999999999987</v>
      </c>
      <c r="Q36" s="21">
        <v>-6.7</v>
      </c>
      <c r="R36" s="21">
        <f>-1.374-4.17</f>
        <v>-5.5440000000000005</v>
      </c>
      <c r="S36" s="21">
        <f>SUM({-2.7;-4.4})</f>
        <v>-7.1000000000000005</v>
      </c>
      <c r="T36" s="21">
        <f>SUM({-2.1;-4.1})</f>
        <v>-6.1999999999999993</v>
      </c>
      <c r="U36" s="21">
        <f>SUM({-1.6;-3.6})</f>
        <v>-5.2</v>
      </c>
      <c r="V36" s="21">
        <f>SUM({-1.8;-3.5})</f>
        <v>-5.3</v>
      </c>
      <c r="W36" s="21">
        <f>SUM({-2.1;-9.8})</f>
        <v>-11.9</v>
      </c>
      <c r="X36" s="21">
        <f>SUM({-2;-3.5})</f>
        <v>-5.5</v>
      </c>
      <c r="AF36" s="1"/>
      <c r="AG36" s="1"/>
      <c r="AH36" s="1"/>
      <c r="AI36" s="1"/>
      <c r="AJ36" s="1"/>
      <c r="AK36" s="1"/>
    </row>
    <row r="37" spans="1:37" s="20" customFormat="1" x14ac:dyDescent="0.2">
      <c r="A37" s="20" t="s">
        <v>15</v>
      </c>
      <c r="B37" s="20">
        <f t="shared" ref="B37:K37" si="28">+B35+B36</f>
        <v>10.099999999999987</v>
      </c>
      <c r="C37" s="20">
        <f t="shared" si="28"/>
        <v>6.6449999999999996</v>
      </c>
      <c r="D37" s="20">
        <f t="shared" si="28"/>
        <v>6.0660000000000025</v>
      </c>
      <c r="E37" s="20">
        <f t="shared" si="28"/>
        <v>17.126000000000001</v>
      </c>
      <c r="F37" s="20">
        <f t="shared" si="28"/>
        <v>-0.70000000000000107</v>
      </c>
      <c r="G37" s="20">
        <f t="shared" si="28"/>
        <v>8.9330000000000016</v>
      </c>
      <c r="H37" s="20">
        <f t="shared" si="28"/>
        <v>2.3240000000000016</v>
      </c>
      <c r="I37" s="20">
        <f t="shared" si="28"/>
        <v>6.4409999999999989</v>
      </c>
      <c r="J37" s="20">
        <f t="shared" si="28"/>
        <v>-13.423999999999999</v>
      </c>
      <c r="K37" s="20">
        <f t="shared" si="28"/>
        <v>3.3999999999999986</v>
      </c>
      <c r="L37" s="20">
        <f t="shared" ref="L37:X37" si="29">+L35+L36</f>
        <v>2.7999999999999989</v>
      </c>
      <c r="M37" s="20">
        <f t="shared" si="29"/>
        <v>18.2</v>
      </c>
      <c r="N37" s="20">
        <f t="shared" si="29"/>
        <v>8.7000000000000011</v>
      </c>
      <c r="O37" s="20">
        <f t="shared" si="29"/>
        <v>1.8739999999999934</v>
      </c>
      <c r="P37" s="20">
        <f t="shared" si="29"/>
        <v>1.5709999999999988</v>
      </c>
      <c r="Q37" s="20">
        <f t="shared" si="29"/>
        <v>1.2179999999999991</v>
      </c>
      <c r="R37" s="20">
        <f t="shared" si="29"/>
        <v>3.120000000000001</v>
      </c>
      <c r="S37" s="20">
        <f t="shared" si="29"/>
        <v>-8.3000000000000007</v>
      </c>
      <c r="T37" s="20">
        <f t="shared" si="29"/>
        <v>3.9000000000000004</v>
      </c>
      <c r="U37" s="20">
        <f t="shared" si="29"/>
        <v>0.6999999999999984</v>
      </c>
      <c r="V37" s="20">
        <f t="shared" si="29"/>
        <v>3.0999999999999988</v>
      </c>
      <c r="W37" s="20">
        <f t="shared" si="29"/>
        <v>-6.1000000000000005</v>
      </c>
      <c r="X37" s="20">
        <f t="shared" si="29"/>
        <v>-13.8</v>
      </c>
    </row>
    <row r="38" spans="1:37" x14ac:dyDescent="0.2">
      <c r="B38" s="64"/>
      <c r="C38" s="64"/>
      <c r="D38" s="64"/>
      <c r="E38" s="64"/>
      <c r="F38" s="64"/>
      <c r="G38" s="64"/>
      <c r="H38" s="64"/>
      <c r="I38" s="64"/>
      <c r="J38" s="64"/>
      <c r="K38" s="64"/>
      <c r="L38" s="64"/>
      <c r="M38" s="64"/>
      <c r="N38" s="64"/>
      <c r="O38" s="64"/>
      <c r="P38" s="64"/>
      <c r="Q38" s="64"/>
      <c r="R38" s="64"/>
      <c r="S38" s="64"/>
      <c r="Z38" s="11"/>
    </row>
    <row r="39" spans="1:37" s="16" customFormat="1" x14ac:dyDescent="0.2">
      <c r="A39" s="18" t="s">
        <v>14</v>
      </c>
      <c r="B39" s="19">
        <v>25</v>
      </c>
      <c r="C39" s="19">
        <v>25</v>
      </c>
      <c r="D39" s="19">
        <v>25</v>
      </c>
      <c r="E39" s="19">
        <v>25</v>
      </c>
      <c r="F39" s="19">
        <v>25</v>
      </c>
      <c r="G39" s="19">
        <v>21.2</v>
      </c>
      <c r="H39" s="19">
        <v>22.7</v>
      </c>
      <c r="I39" s="19">
        <v>21.9</v>
      </c>
      <c r="J39" s="19">
        <v>13.9</v>
      </c>
      <c r="K39" s="19">
        <v>6.6</v>
      </c>
      <c r="L39" s="19">
        <v>0</v>
      </c>
      <c r="M39" s="19">
        <v>0</v>
      </c>
      <c r="N39" s="19">
        <v>0</v>
      </c>
      <c r="O39" s="19">
        <v>15.361000000000001</v>
      </c>
      <c r="P39" s="19">
        <v>5.2009999999999996</v>
      </c>
      <c r="Q39" s="19">
        <v>5.1509999999999998</v>
      </c>
      <c r="R39" s="19">
        <v>0</v>
      </c>
      <c r="S39" s="19">
        <v>0</v>
      </c>
      <c r="T39" s="19">
        <v>-3</v>
      </c>
      <c r="U39" s="19">
        <v>17.3</v>
      </c>
      <c r="V39" s="19"/>
      <c r="W39" s="19"/>
      <c r="X39" s="19"/>
    </row>
    <row r="40" spans="1:37" s="16" customFormat="1" x14ac:dyDescent="0.2">
      <c r="A40" s="18" t="s">
        <v>13</v>
      </c>
      <c r="B40" s="19">
        <v>253.3</v>
      </c>
      <c r="C40" s="19">
        <f>275.6-C39</f>
        <v>250.60000000000002</v>
      </c>
      <c r="D40" s="19">
        <f>230.75+6.5+15</f>
        <v>252.25</v>
      </c>
      <c r="E40" s="19">
        <f>238.9+20</f>
        <v>258.89999999999998</v>
      </c>
      <c r="F40" s="19">
        <f>240.9+14.4</f>
        <v>255.3</v>
      </c>
      <c r="G40" s="19">
        <f>242.1+12.6</f>
        <v>254.7</v>
      </c>
      <c r="H40" s="19">
        <f>13.1+243.8</f>
        <v>256.90000000000003</v>
      </c>
      <c r="I40" s="19">
        <f>245.4+14.2</f>
        <v>259.60000000000002</v>
      </c>
      <c r="J40" s="19">
        <f>247+14.6</f>
        <v>261.60000000000002</v>
      </c>
      <c r="K40" s="19">
        <f>248.6+13</f>
        <v>261.60000000000002</v>
      </c>
      <c r="L40" s="19">
        <f>12.9+250.3</f>
        <v>263.2</v>
      </c>
      <c r="M40" s="19">
        <f>13.8+251.9</f>
        <v>265.7</v>
      </c>
      <c r="N40" s="19">
        <v>253.5</v>
      </c>
      <c r="O40" s="19">
        <v>255.125</v>
      </c>
      <c r="P40" s="19">
        <f>250.25+6.5</f>
        <v>256.75</v>
      </c>
      <c r="Q40" s="19">
        <f>251.875+6.5</f>
        <v>258.375</v>
      </c>
      <c r="R40" s="19">
        <f>253.5+6.5</f>
        <v>260</v>
      </c>
      <c r="S40" s="19">
        <v>260</v>
      </c>
      <c r="T40" s="19">
        <f>53.5+190</f>
        <v>243.5</v>
      </c>
      <c r="U40" s="19">
        <v>265.7</v>
      </c>
      <c r="V40" s="19"/>
      <c r="W40" s="19"/>
      <c r="X40" s="19"/>
    </row>
    <row r="41" spans="1:37" s="16" customFormat="1" x14ac:dyDescent="0.2">
      <c r="A41" s="18" t="s">
        <v>12</v>
      </c>
      <c r="B41" s="19">
        <f t="shared" ref="B41:D41" si="30">B39+B40</f>
        <v>278.3</v>
      </c>
      <c r="C41" s="19">
        <f t="shared" si="30"/>
        <v>275.60000000000002</v>
      </c>
      <c r="D41" s="19">
        <f t="shared" si="30"/>
        <v>277.25</v>
      </c>
      <c r="E41" s="19">
        <f t="shared" ref="E41:J41" si="31">E39+E40</f>
        <v>283.89999999999998</v>
      </c>
      <c r="F41" s="19">
        <f t="shared" si="31"/>
        <v>280.3</v>
      </c>
      <c r="G41" s="19">
        <f t="shared" si="31"/>
        <v>275.89999999999998</v>
      </c>
      <c r="H41" s="19">
        <f t="shared" si="31"/>
        <v>279.60000000000002</v>
      </c>
      <c r="I41" s="19">
        <f t="shared" si="31"/>
        <v>281.5</v>
      </c>
      <c r="J41" s="19">
        <f t="shared" si="31"/>
        <v>275.5</v>
      </c>
      <c r="K41" s="19">
        <f t="shared" ref="K41:U41" si="32">K39+K40</f>
        <v>268.20000000000005</v>
      </c>
      <c r="L41" s="19">
        <f t="shared" si="32"/>
        <v>263.2</v>
      </c>
      <c r="M41" s="19">
        <f t="shared" si="32"/>
        <v>265.7</v>
      </c>
      <c r="N41" s="19">
        <f t="shared" si="32"/>
        <v>253.5</v>
      </c>
      <c r="O41" s="19">
        <f t="shared" si="32"/>
        <v>270.48599999999999</v>
      </c>
      <c r="P41" s="19">
        <f t="shared" si="32"/>
        <v>261.95100000000002</v>
      </c>
      <c r="Q41" s="19">
        <f t="shared" si="32"/>
        <v>263.52600000000001</v>
      </c>
      <c r="R41" s="19">
        <f t="shared" si="32"/>
        <v>260</v>
      </c>
      <c r="S41" s="19">
        <f t="shared" si="32"/>
        <v>260</v>
      </c>
      <c r="T41" s="19">
        <f t="shared" si="32"/>
        <v>240.5</v>
      </c>
      <c r="U41" s="19">
        <f t="shared" si="32"/>
        <v>283</v>
      </c>
      <c r="V41" s="19"/>
      <c r="W41" s="19"/>
      <c r="X41" s="19"/>
    </row>
    <row r="42" spans="1:37" s="16" customFormat="1" x14ac:dyDescent="0.2">
      <c r="A42" s="18" t="s">
        <v>11</v>
      </c>
      <c r="B42" s="17">
        <v>282</v>
      </c>
      <c r="C42" s="17">
        <v>282</v>
      </c>
      <c r="D42" s="17">
        <v>282</v>
      </c>
      <c r="E42" s="17">
        <v>282</v>
      </c>
      <c r="F42" s="17">
        <v>282</v>
      </c>
      <c r="G42" s="17">
        <v>282</v>
      </c>
      <c r="H42" s="17">
        <v>282</v>
      </c>
      <c r="I42" s="17">
        <v>282</v>
      </c>
      <c r="J42" s="17">
        <v>282</v>
      </c>
      <c r="K42" s="17">
        <v>282</v>
      </c>
      <c r="L42" s="17">
        <v>282</v>
      </c>
      <c r="M42" s="17">
        <v>282</v>
      </c>
      <c r="N42" s="17">
        <v>282</v>
      </c>
      <c r="O42" s="17">
        <v>282</v>
      </c>
      <c r="P42" s="17">
        <v>282</v>
      </c>
      <c r="Q42" s="17">
        <v>282</v>
      </c>
      <c r="R42" s="17">
        <v>282</v>
      </c>
      <c r="S42" s="17">
        <v>282</v>
      </c>
      <c r="T42" s="17">
        <v>282</v>
      </c>
      <c r="U42" s="17">
        <v>282</v>
      </c>
      <c r="V42" s="17"/>
      <c r="W42" s="17"/>
      <c r="X42" s="17"/>
    </row>
    <row r="43" spans="1:37" x14ac:dyDescent="0.2">
      <c r="B43" s="16"/>
      <c r="C43" s="16"/>
      <c r="D43" s="16"/>
      <c r="E43" s="16"/>
      <c r="F43" s="16"/>
      <c r="G43" s="16"/>
      <c r="H43" s="16"/>
      <c r="I43" s="16"/>
      <c r="J43" s="16"/>
      <c r="K43" s="16"/>
      <c r="L43" s="16"/>
      <c r="M43" s="16"/>
      <c r="N43" s="16"/>
      <c r="O43" s="16"/>
      <c r="P43" s="16"/>
      <c r="Q43" s="16"/>
      <c r="R43" s="16"/>
      <c r="S43" s="16"/>
    </row>
    <row r="44" spans="1:37" x14ac:dyDescent="0.2">
      <c r="A44" s="15" t="s">
        <v>10</v>
      </c>
      <c r="B44" s="14">
        <v>32.799999999999997</v>
      </c>
      <c r="C44" s="14">
        <v>18.600000000000001</v>
      </c>
      <c r="D44" s="14">
        <v>23.777999999999999</v>
      </c>
      <c r="E44" s="14">
        <v>29.353000000000002</v>
      </c>
      <c r="F44" s="14">
        <v>19.5</v>
      </c>
      <c r="G44" s="14">
        <v>7.3</v>
      </c>
      <c r="H44" s="14">
        <v>6.6</v>
      </c>
      <c r="I44" s="14">
        <v>11.6</v>
      </c>
      <c r="J44" s="14">
        <v>10.9</v>
      </c>
      <c r="K44" s="14">
        <v>17.5</v>
      </c>
      <c r="L44" s="14">
        <v>13.602</v>
      </c>
      <c r="M44" s="14">
        <v>16.709</v>
      </c>
      <c r="N44" s="14">
        <v>9</v>
      </c>
      <c r="O44" s="14">
        <v>8.1619999999999919</v>
      </c>
      <c r="P44" s="14">
        <v>5.7159999999999975</v>
      </c>
      <c r="Q44" s="14">
        <v>10.852999999999998</v>
      </c>
      <c r="R44" s="14">
        <v>14.823</v>
      </c>
      <c r="S44" s="14">
        <v>7.3</v>
      </c>
      <c r="T44" s="14">
        <v>22.4</v>
      </c>
      <c r="U44" s="14">
        <v>7.6</v>
      </c>
      <c r="V44" s="14"/>
      <c r="W44" s="14"/>
      <c r="X44" s="14"/>
    </row>
    <row r="45" spans="1:37" x14ac:dyDescent="0.2">
      <c r="B45" s="64"/>
      <c r="C45" s="64"/>
      <c r="D45" s="64"/>
      <c r="E45" s="64"/>
      <c r="F45" s="64"/>
      <c r="G45" s="64"/>
      <c r="H45" s="64"/>
      <c r="I45" s="64"/>
      <c r="J45" s="64"/>
      <c r="K45" s="64"/>
      <c r="L45" s="64"/>
      <c r="M45" s="64"/>
      <c r="N45" s="64"/>
      <c r="O45" s="64"/>
      <c r="P45" s="64"/>
      <c r="Q45" s="64"/>
      <c r="R45" s="64"/>
      <c r="S45" s="64"/>
    </row>
    <row r="46" spans="1:37" x14ac:dyDescent="0.2">
      <c r="A46" s="1" t="s">
        <v>9</v>
      </c>
      <c r="B46" s="11">
        <f t="shared" ref="B46:U46" si="33">SUM(B12:E12)</f>
        <v>440.60600000000005</v>
      </c>
      <c r="C46" s="11">
        <f t="shared" si="33"/>
        <v>384.50600000000003</v>
      </c>
      <c r="D46" s="11">
        <f t="shared" si="33"/>
        <v>353.375</v>
      </c>
      <c r="E46" s="11">
        <f t="shared" si="33"/>
        <v>327.822</v>
      </c>
      <c r="F46" s="11">
        <f t="shared" si="33"/>
        <v>337.82100000000003</v>
      </c>
      <c r="G46" s="11">
        <f t="shared" si="33"/>
        <v>343.82100000000003</v>
      </c>
      <c r="H46" s="11">
        <f t="shared" si="33"/>
        <v>356.82100000000003</v>
      </c>
      <c r="I46" s="11">
        <f t="shared" si="33"/>
        <v>355.70500000000004</v>
      </c>
      <c r="J46" s="11">
        <f t="shared" si="33"/>
        <v>361.1</v>
      </c>
      <c r="K46" s="11">
        <f t="shared" si="33"/>
        <v>373</v>
      </c>
      <c r="L46" s="11">
        <f t="shared" si="33"/>
        <v>360.35900000000004</v>
      </c>
      <c r="M46" s="11">
        <f t="shared" si="33"/>
        <v>356.70400000000001</v>
      </c>
      <c r="N46" s="11">
        <f t="shared" si="33"/>
        <v>344.90600000000001</v>
      </c>
      <c r="O46" s="11">
        <f t="shared" si="33"/>
        <v>327.19600000000003</v>
      </c>
      <c r="P46" s="11">
        <f t="shared" si="33"/>
        <v>322.23699999999997</v>
      </c>
      <c r="Q46" s="11">
        <f t="shared" si="33"/>
        <v>309.392</v>
      </c>
      <c r="R46" s="11">
        <f t="shared" si="33"/>
        <v>311.89</v>
      </c>
      <c r="S46" s="11">
        <f t="shared" si="33"/>
        <v>317.7</v>
      </c>
      <c r="T46" s="11">
        <f t="shared" si="33"/>
        <v>308.7</v>
      </c>
      <c r="U46" s="11">
        <f t="shared" si="33"/>
        <v>309.39999999999998</v>
      </c>
    </row>
    <row r="47" spans="1:37" x14ac:dyDescent="0.2">
      <c r="A47" s="1" t="s">
        <v>8</v>
      </c>
      <c r="B47" s="11">
        <f t="shared" ref="B47:C47" si="34">+B27</f>
        <v>99.499999999999986</v>
      </c>
      <c r="C47" s="11">
        <f t="shared" si="34"/>
        <v>73.5</v>
      </c>
      <c r="D47" s="11">
        <f t="shared" ref="D47:E47" si="35">+D27</f>
        <v>62.024999999999963</v>
      </c>
      <c r="E47" s="11">
        <f t="shared" si="35"/>
        <v>49.515999999999934</v>
      </c>
      <c r="F47" s="11">
        <f t="shared" ref="F47:G47" si="36">+F27</f>
        <v>48.315999999999931</v>
      </c>
      <c r="G47" s="11">
        <f t="shared" si="36"/>
        <v>47.115999999999936</v>
      </c>
      <c r="H47" s="11">
        <f t="shared" ref="H47:I47" si="37">+H27</f>
        <v>50.990999999999971</v>
      </c>
      <c r="I47" s="11">
        <f t="shared" si="37"/>
        <v>50.8</v>
      </c>
      <c r="J47" s="11">
        <f t="shared" ref="J47:K47" si="38">+J27</f>
        <v>61.599999999999994</v>
      </c>
      <c r="K47" s="11">
        <f t="shared" si="38"/>
        <v>74.599999999999994</v>
      </c>
      <c r="L47" s="11">
        <f t="shared" ref="L47:U47" si="39">+L27</f>
        <v>79.817000000000007</v>
      </c>
      <c r="M47" s="11">
        <f t="shared" si="39"/>
        <v>83.210999999999984</v>
      </c>
      <c r="N47" s="11">
        <f t="shared" si="39"/>
        <v>78.967999999999989</v>
      </c>
      <c r="O47" s="11">
        <f t="shared" si="39"/>
        <v>74.063999999999993</v>
      </c>
      <c r="P47" s="11">
        <f t="shared" si="39"/>
        <v>70.447000000000003</v>
      </c>
      <c r="Q47" s="11">
        <f t="shared" si="39"/>
        <v>66.252999999999986</v>
      </c>
      <c r="R47" s="11">
        <f t="shared" si="39"/>
        <v>65.795999999999992</v>
      </c>
      <c r="S47" s="11">
        <f t="shared" si="39"/>
        <v>67.3</v>
      </c>
      <c r="T47" s="11">
        <f t="shared" si="39"/>
        <v>67.400000000000006</v>
      </c>
      <c r="U47" s="11">
        <f t="shared" si="39"/>
        <v>66.7</v>
      </c>
    </row>
    <row r="48" spans="1:37" x14ac:dyDescent="0.2">
      <c r="A48" s="1" t="s">
        <v>7</v>
      </c>
      <c r="B48" s="11">
        <f t="shared" ref="B48:K48" si="40">+SUM(B37:E37)</f>
        <v>39.936999999999991</v>
      </c>
      <c r="C48" s="11">
        <f t="shared" si="40"/>
        <v>29.137</v>
      </c>
      <c r="D48" s="11">
        <f t="shared" si="40"/>
        <v>31.425000000000004</v>
      </c>
      <c r="E48" s="11">
        <f t="shared" si="40"/>
        <v>27.683000000000003</v>
      </c>
      <c r="F48" s="11">
        <f t="shared" si="40"/>
        <v>16.998000000000001</v>
      </c>
      <c r="G48" s="11">
        <f t="shared" si="40"/>
        <v>4.2740000000000009</v>
      </c>
      <c r="H48" s="11">
        <f t="shared" si="40"/>
        <v>-1.2590000000000003</v>
      </c>
      <c r="I48" s="11">
        <f t="shared" si="40"/>
        <v>-0.78300000000000303</v>
      </c>
      <c r="J48" s="11">
        <f t="shared" si="40"/>
        <v>10.975999999999997</v>
      </c>
      <c r="K48" s="11">
        <f t="shared" si="40"/>
        <v>33.1</v>
      </c>
      <c r="L48" s="11">
        <f t="shared" ref="L48:U48" si="41">+SUM(L37:O37)</f>
        <v>31.573999999999998</v>
      </c>
      <c r="M48" s="11">
        <f t="shared" si="41"/>
        <v>30.344999999999992</v>
      </c>
      <c r="N48" s="11">
        <f t="shared" si="41"/>
        <v>13.362999999999992</v>
      </c>
      <c r="O48" s="11">
        <f t="shared" si="41"/>
        <v>7.7829999999999924</v>
      </c>
      <c r="P48" s="11">
        <f t="shared" si="41"/>
        <v>-2.3910000000000018</v>
      </c>
      <c r="Q48" s="11">
        <f t="shared" si="41"/>
        <v>-6.2000000000000277E-2</v>
      </c>
      <c r="R48" s="11">
        <f t="shared" si="41"/>
        <v>-0.58000000000000096</v>
      </c>
      <c r="S48" s="11">
        <f t="shared" si="41"/>
        <v>-0.6000000000000032</v>
      </c>
      <c r="T48" s="11">
        <f t="shared" si="41"/>
        <v>1.599999999999997</v>
      </c>
      <c r="U48" s="11">
        <f t="shared" si="41"/>
        <v>-16.100000000000005</v>
      </c>
    </row>
    <row r="50" spans="1:24" s="10" customFormat="1" x14ac:dyDescent="0.2">
      <c r="A50" s="10" t="s">
        <v>6</v>
      </c>
      <c r="B50" s="10">
        <f t="shared" ref="B50:C50" si="42">+SUM(B39:B40)/B47</f>
        <v>2.796984924623116</v>
      </c>
      <c r="C50" s="10">
        <f t="shared" si="42"/>
        <v>3.7496598639455785</v>
      </c>
      <c r="D50" s="10">
        <f t="shared" ref="D50:E50" si="43">+SUM(D39:D40)/D47</f>
        <v>4.4699717855703369</v>
      </c>
      <c r="E50" s="10">
        <f t="shared" si="43"/>
        <v>5.7335002827368999</v>
      </c>
      <c r="F50" s="10">
        <f t="shared" ref="F50:G50" si="44">+SUM(F39:F40)/F47</f>
        <v>5.8013908436128903</v>
      </c>
      <c r="G50" s="10">
        <f t="shared" si="44"/>
        <v>5.8557602512946847</v>
      </c>
      <c r="H50" s="10">
        <f t="shared" ref="H50:I50" si="45">+SUM(H39:H40)/H47</f>
        <v>5.4833205859857657</v>
      </c>
      <c r="I50" s="10">
        <f t="shared" si="45"/>
        <v>5.5413385826771657</v>
      </c>
      <c r="J50" s="10">
        <f t="shared" ref="J50:K50" si="46">+SUM(J39:J40)/J47</f>
        <v>4.4724025974025974</v>
      </c>
      <c r="K50" s="10">
        <f t="shared" si="46"/>
        <v>3.5951742627345853</v>
      </c>
      <c r="L50" s="10">
        <f t="shared" ref="L50:M50" si="47">+SUM(L39:L40)/L47</f>
        <v>3.297543129909668</v>
      </c>
      <c r="M50" s="10">
        <f t="shared" si="47"/>
        <v>3.1930874523800945</v>
      </c>
      <c r="N50" s="10">
        <f t="shared" ref="N50:U50" si="48">+SUM(N39:N40)/N47</f>
        <v>3.2101610779049747</v>
      </c>
      <c r="O50" s="10">
        <f t="shared" si="48"/>
        <v>3.6520576798444591</v>
      </c>
      <c r="P50" s="10">
        <f t="shared" si="48"/>
        <v>3.7184124235240681</v>
      </c>
      <c r="Q50" s="10">
        <f t="shared" si="48"/>
        <v>3.9775708269814207</v>
      </c>
      <c r="R50" s="10">
        <f t="shared" si="48"/>
        <v>3.9516080004863521</v>
      </c>
      <c r="S50" s="10">
        <f t="shared" si="48"/>
        <v>3.8632986627043091</v>
      </c>
      <c r="T50" s="10">
        <f t="shared" si="48"/>
        <v>3.568249258160237</v>
      </c>
      <c r="U50" s="10">
        <f t="shared" si="48"/>
        <v>4.2428785607196398</v>
      </c>
    </row>
    <row r="51" spans="1:24" s="10" customFormat="1" x14ac:dyDescent="0.2">
      <c r="A51" s="10" t="s">
        <v>5</v>
      </c>
      <c r="B51" s="10">
        <f t="shared" ref="B51:C51" si="49">+B41/B47</f>
        <v>2.796984924623116</v>
      </c>
      <c r="C51" s="10">
        <f t="shared" si="49"/>
        <v>3.7496598639455785</v>
      </c>
      <c r="D51" s="10">
        <f t="shared" ref="D51:E51" si="50">+D41/D47</f>
        <v>4.4699717855703369</v>
      </c>
      <c r="E51" s="10">
        <f t="shared" si="50"/>
        <v>5.7335002827368999</v>
      </c>
      <c r="F51" s="10">
        <f t="shared" ref="F51:G51" si="51">+F41/F47</f>
        <v>5.8013908436128903</v>
      </c>
      <c r="G51" s="10">
        <f t="shared" si="51"/>
        <v>5.8557602512946847</v>
      </c>
      <c r="H51" s="10">
        <f t="shared" ref="H51:I51" si="52">+H41/H47</f>
        <v>5.4833205859857657</v>
      </c>
      <c r="I51" s="10">
        <f t="shared" si="52"/>
        <v>5.5413385826771657</v>
      </c>
      <c r="J51" s="10">
        <f t="shared" ref="J51:K51" si="53">+J41/J47</f>
        <v>4.4724025974025974</v>
      </c>
      <c r="K51" s="10">
        <f t="shared" si="53"/>
        <v>3.5951742627345853</v>
      </c>
      <c r="L51" s="10">
        <f t="shared" ref="L51:U51" si="54">+L41/L47</f>
        <v>3.297543129909668</v>
      </c>
      <c r="M51" s="10">
        <f t="shared" si="54"/>
        <v>3.1930874523800945</v>
      </c>
      <c r="N51" s="10">
        <f t="shared" si="54"/>
        <v>3.2101610779049747</v>
      </c>
      <c r="O51" s="10">
        <f t="shared" si="54"/>
        <v>3.6520576798444591</v>
      </c>
      <c r="P51" s="10">
        <f t="shared" si="54"/>
        <v>3.7184124235240681</v>
      </c>
      <c r="Q51" s="10">
        <f t="shared" si="54"/>
        <v>3.9775708269814207</v>
      </c>
      <c r="R51" s="10">
        <f t="shared" si="54"/>
        <v>3.9516080004863521</v>
      </c>
      <c r="S51" s="10">
        <f t="shared" si="54"/>
        <v>3.8632986627043091</v>
      </c>
      <c r="T51" s="10">
        <f t="shared" si="54"/>
        <v>3.568249258160237</v>
      </c>
      <c r="U51" s="10">
        <f t="shared" si="54"/>
        <v>4.2428785607196398</v>
      </c>
    </row>
    <row r="52" spans="1:24" s="10" customFormat="1" x14ac:dyDescent="0.2">
      <c r="A52" s="10" t="s">
        <v>4</v>
      </c>
      <c r="B52" s="10">
        <f t="shared" ref="B52:C52" si="55">+(B41-B44)/B47</f>
        <v>2.4673366834170856</v>
      </c>
      <c r="C52" s="10">
        <f t="shared" si="55"/>
        <v>3.4965986394557822</v>
      </c>
      <c r="D52" s="10">
        <f t="shared" ref="D52:E52" si="56">+(D41-D44)/D47</f>
        <v>4.0866102378073386</v>
      </c>
      <c r="E52" s="10">
        <f t="shared" si="56"/>
        <v>5.140701995314652</v>
      </c>
      <c r="F52" s="10">
        <f t="shared" ref="F52:G52" si="57">+(F41-F44)/F47</f>
        <v>5.3977978309462786</v>
      </c>
      <c r="G52" s="10">
        <f t="shared" si="57"/>
        <v>5.7008234994481777</v>
      </c>
      <c r="H52" s="10">
        <f t="shared" ref="H52:I52" si="58">+(H41-H44)/H47</f>
        <v>5.3538859798788048</v>
      </c>
      <c r="I52" s="10">
        <f t="shared" si="58"/>
        <v>5.3129921259842519</v>
      </c>
      <c r="J52" s="10">
        <f t="shared" ref="J52:K52" si="59">+(J41-J44)/J47</f>
        <v>4.2954545454545459</v>
      </c>
      <c r="K52" s="10">
        <f t="shared" si="59"/>
        <v>3.3605898123324405</v>
      </c>
      <c r="L52" s="10">
        <f t="shared" ref="L52:U52" si="60">+(L41-L44)/L47</f>
        <v>3.1271283059999746</v>
      </c>
      <c r="M52" s="10">
        <f t="shared" si="60"/>
        <v>2.9922846739012874</v>
      </c>
      <c r="N52" s="10">
        <f t="shared" si="60"/>
        <v>3.0961908621213658</v>
      </c>
      <c r="O52" s="10">
        <f t="shared" si="60"/>
        <v>3.5418556923741633</v>
      </c>
      <c r="P52" s="10">
        <f t="shared" si="60"/>
        <v>3.6372734112169431</v>
      </c>
      <c r="Q52" s="10">
        <f t="shared" si="60"/>
        <v>3.8137593769338753</v>
      </c>
      <c r="R52" s="10">
        <f t="shared" si="60"/>
        <v>3.7263207489817014</v>
      </c>
      <c r="S52" s="10">
        <f t="shared" si="60"/>
        <v>3.7548291233283804</v>
      </c>
      <c r="T52" s="10">
        <f t="shared" si="60"/>
        <v>3.2359050445103854</v>
      </c>
      <c r="U52" s="10">
        <f t="shared" si="60"/>
        <v>4.1289355322338821</v>
      </c>
    </row>
    <row r="53" spans="1:24" s="6" customFormat="1" x14ac:dyDescent="0.2">
      <c r="A53" s="6" t="s">
        <v>3</v>
      </c>
      <c r="B53" s="6">
        <f t="shared" ref="B53:C53" si="61">+B48/B41</f>
        <v>0.14350341358246493</v>
      </c>
      <c r="C53" s="6">
        <f t="shared" si="61"/>
        <v>0.10572206095791001</v>
      </c>
      <c r="D53" s="6">
        <f t="shared" ref="D53:E53" si="62">+D48/D41</f>
        <v>0.11334535617673581</v>
      </c>
      <c r="E53" s="6">
        <f t="shared" si="62"/>
        <v>9.7509686509334295E-2</v>
      </c>
      <c r="F53" s="6">
        <f t="shared" ref="F53:G53" si="63">+F48/F41</f>
        <v>6.0642169104530859E-2</v>
      </c>
      <c r="G53" s="6">
        <f t="shared" si="63"/>
        <v>1.5491119971003992E-2</v>
      </c>
      <c r="H53" s="6">
        <f t="shared" ref="H53:I53" si="64">+H48/H41</f>
        <v>-4.5028612303290427E-3</v>
      </c>
      <c r="I53" s="6">
        <f t="shared" si="64"/>
        <v>-2.7815275310834921E-3</v>
      </c>
      <c r="J53" s="6">
        <f t="shared" ref="J53:K53" si="65">+J48/J41</f>
        <v>3.9840290381125215E-2</v>
      </c>
      <c r="K53" s="6">
        <f t="shared" si="65"/>
        <v>0.12341536167039521</v>
      </c>
      <c r="L53" s="6">
        <f t="shared" ref="L53:U53" si="66">+L48/L41</f>
        <v>0.11996200607902735</v>
      </c>
      <c r="M53" s="6">
        <f t="shared" si="66"/>
        <v>0.11420775310500562</v>
      </c>
      <c r="N53" s="6">
        <f t="shared" si="66"/>
        <v>5.2714003944773144E-2</v>
      </c>
      <c r="O53" s="6">
        <f t="shared" si="66"/>
        <v>2.8774132487448492E-2</v>
      </c>
      <c r="P53" s="6">
        <f t="shared" si="66"/>
        <v>-9.1276612801630894E-3</v>
      </c>
      <c r="Q53" s="6">
        <f t="shared" si="66"/>
        <v>-2.352709030607996E-4</v>
      </c>
      <c r="R53" s="6">
        <f t="shared" si="66"/>
        <v>-2.2307692307692345E-3</v>
      </c>
      <c r="S53" s="6">
        <f t="shared" si="66"/>
        <v>-2.3076923076923201E-3</v>
      </c>
      <c r="T53" s="6">
        <f t="shared" si="66"/>
        <v>6.6528066528066402E-3</v>
      </c>
      <c r="U53" s="6">
        <f t="shared" si="66"/>
        <v>-5.6890459363957611E-2</v>
      </c>
    </row>
    <row r="54" spans="1:24" s="6" customFormat="1" x14ac:dyDescent="0.2">
      <c r="A54" s="8" t="s">
        <v>2</v>
      </c>
      <c r="B54" s="9"/>
      <c r="C54" s="9"/>
      <c r="D54" s="9"/>
      <c r="E54" s="9"/>
      <c r="F54" s="9"/>
      <c r="G54" s="9"/>
      <c r="H54" s="9"/>
      <c r="I54" s="9"/>
      <c r="J54" s="9"/>
      <c r="K54" s="9"/>
      <c r="L54" s="9"/>
      <c r="M54" s="9"/>
      <c r="N54" s="9"/>
      <c r="O54" s="9"/>
      <c r="P54" s="9"/>
      <c r="Q54" s="9"/>
      <c r="R54" s="9"/>
      <c r="S54" s="9"/>
      <c r="T54" s="9"/>
      <c r="U54" s="9"/>
      <c r="V54" s="8"/>
      <c r="W54" s="8"/>
      <c r="X54" s="8"/>
    </row>
    <row r="55" spans="1:24" s="6" customFormat="1" x14ac:dyDescent="0.2">
      <c r="A55" s="6" t="s">
        <v>1</v>
      </c>
      <c r="B55" s="7">
        <f t="shared" ref="B55:C55" si="67">IF(B42=0,IF(B54="","","*"&amp;TEXT(B54,"0.0x")),(B41+B42-B44)/B47)</f>
        <v>5.3015075376884431</v>
      </c>
      <c r="C55" s="7">
        <f t="shared" si="67"/>
        <v>7.333333333333333</v>
      </c>
      <c r="D55" s="7">
        <f t="shared" ref="D55:E55" si="68">IF(D42=0,IF(D54="","","*"&amp;TEXT(D54,"0.0x")),(D41+D42-D44)/D47)</f>
        <v>8.6331640467553452</v>
      </c>
      <c r="E55" s="7">
        <f t="shared" si="68"/>
        <v>10.835830842555957</v>
      </c>
      <c r="F55" s="7">
        <f t="shared" ref="F55:G55" si="69">IF(F42=0,IF(F54="","","*"&amp;TEXT(F54,"0.0x")),(F41+F42-F44)/F47)</f>
        <v>11.234373706432667</v>
      </c>
      <c r="G55" s="7">
        <f t="shared" si="69"/>
        <v>11.686051447491314</v>
      </c>
      <c r="H55" s="7">
        <f t="shared" ref="H55:I55" si="70">IF(H42=0,IF(H54="","","*"&amp;TEXT(H54,"0.0x")),(H41+H42-H44)/H47)</f>
        <v>10.88427369535801</v>
      </c>
      <c r="I55" s="7">
        <f t="shared" si="70"/>
        <v>10.864173228346457</v>
      </c>
      <c r="J55" s="7">
        <f t="shared" ref="J55:K55" si="71">IF(J42=0,IF(J54="","","*"&amp;TEXT(J54,"0.0x")),(J41+J42-J44)/J47)</f>
        <v>8.8733766233766254</v>
      </c>
      <c r="K55" s="7">
        <f t="shared" si="71"/>
        <v>7.140750670241288</v>
      </c>
      <c r="L55" s="7">
        <f t="shared" ref="L55:U55" si="72">IF(L42=0,IF(L54="","","*"&amp;TEXT(L54,"0.0x")),(L41+L42-L44)/L47)</f>
        <v>6.660210230903191</v>
      </c>
      <c r="M55" s="7">
        <f t="shared" si="72"/>
        <v>6.3812596892237829</v>
      </c>
      <c r="N55" s="7">
        <f t="shared" si="72"/>
        <v>6.6672576233411007</v>
      </c>
      <c r="O55" s="7">
        <f t="shared" si="72"/>
        <v>7.349373514798013</v>
      </c>
      <c r="P55" s="7">
        <f t="shared" si="72"/>
        <v>7.6402827657671724</v>
      </c>
      <c r="Q55" s="7">
        <f t="shared" si="72"/>
        <v>8.0701704073777822</v>
      </c>
      <c r="R55" s="7">
        <f t="shared" si="72"/>
        <v>8.0122955802784368</v>
      </c>
      <c r="S55" s="7">
        <f t="shared" si="72"/>
        <v>7.9450222882615167</v>
      </c>
      <c r="T55" s="7">
        <f t="shared" si="72"/>
        <v>7.4198813056379818</v>
      </c>
      <c r="U55" s="7">
        <f t="shared" si="72"/>
        <v>8.3568215892053974</v>
      </c>
      <c r="V55" s="7" t="str">
        <f>IF(V42=0,IF(V54="","",CONCATENATE("* ",V54,"x")),(V41+V42-V44)/V47)</f>
        <v/>
      </c>
      <c r="W55" s="7" t="str">
        <f>IF(W42=0,IF(W54="","",CONCATENATE("* ",W54,"x")),(W41+W42-W44)/W47)</f>
        <v/>
      </c>
      <c r="X55" s="7" t="str">
        <f>IF(X42=0,IF(X54="","",CONCATENATE("* ",X54,"x")),(X41+X42-X44)/X47)</f>
        <v/>
      </c>
    </row>
    <row r="56" spans="1:24" x14ac:dyDescent="0.2">
      <c r="U56" s="3"/>
    </row>
    <row r="57" spans="1:24" ht="80.25" customHeight="1" x14ac:dyDescent="0.2">
      <c r="A57" s="5" t="s">
        <v>0</v>
      </c>
      <c r="B57" s="4" t="s">
        <v>104</v>
      </c>
      <c r="C57" s="4" t="s">
        <v>104</v>
      </c>
      <c r="D57" s="4" t="s">
        <v>504</v>
      </c>
      <c r="E57" s="4" t="s">
        <v>504</v>
      </c>
      <c r="F57" s="4" t="s">
        <v>504</v>
      </c>
      <c r="G57" s="4" t="s">
        <v>238</v>
      </c>
      <c r="H57" s="4" t="s">
        <v>238</v>
      </c>
      <c r="I57" s="4" t="s">
        <v>238</v>
      </c>
      <c r="J57" s="4" t="s">
        <v>238</v>
      </c>
      <c r="K57" s="4" t="s">
        <v>238</v>
      </c>
      <c r="L57" s="4" t="s">
        <v>238</v>
      </c>
      <c r="M57" s="4"/>
      <c r="N57" s="4"/>
      <c r="O57" s="4" t="s">
        <v>104</v>
      </c>
      <c r="P57" s="4"/>
      <c r="Q57" s="4"/>
      <c r="R57" s="4"/>
      <c r="S57" s="4" t="s">
        <v>187</v>
      </c>
      <c r="T57" s="4"/>
      <c r="U57" s="4"/>
      <c r="V57" s="4"/>
      <c r="W57" s="4"/>
      <c r="X57" s="4"/>
    </row>
    <row r="58" spans="1:24" x14ac:dyDescent="0.2">
      <c r="A58" s="2"/>
    </row>
    <row r="59" spans="1:24" x14ac:dyDescent="0.2">
      <c r="A59" s="2"/>
    </row>
  </sheetData>
  <pageMargins left="0.7" right="0.7" top="0.75" bottom="0.75" header="0.3" footer="0.3"/>
  <pageSetup orientation="portrait" r:id="rId1"/>
  <ignoredErrors>
    <ignoredError sqref="K46:V55 J24:K25 J46 I46:I55 H46 E50:E57 E46:E49 G46 D47:D49 D46 F47:G49 F46 B46:C48" formulaRange="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G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4" width="10.7109375" style="1" customWidth="1"/>
    <col min="25" max="16384" width="9.140625" style="1"/>
  </cols>
  <sheetData>
    <row r="2" spans="1:24" x14ac:dyDescent="0.2">
      <c r="A2" s="34" t="s">
        <v>45</v>
      </c>
      <c r="B2" s="1" t="s">
        <v>435</v>
      </c>
    </row>
    <row r="3" spans="1:24" s="35" customFormat="1" x14ac:dyDescent="0.2">
      <c r="A3" s="36" t="s">
        <v>43</v>
      </c>
      <c r="B3" s="35" t="s">
        <v>191</v>
      </c>
    </row>
    <row r="4" spans="1:24" x14ac:dyDescent="0.2">
      <c r="A4" s="34" t="s">
        <v>41</v>
      </c>
      <c r="B4" s="1" t="s">
        <v>40</v>
      </c>
    </row>
    <row r="5" spans="1:24" x14ac:dyDescent="0.2">
      <c r="A5" s="34" t="s">
        <v>39</v>
      </c>
    </row>
    <row r="6" spans="1:24" x14ac:dyDescent="0.2">
      <c r="A6" s="34" t="s">
        <v>38</v>
      </c>
      <c r="B6" s="1">
        <v>5</v>
      </c>
    </row>
    <row r="7" spans="1:24" x14ac:dyDescent="0.2">
      <c r="A7" s="34" t="s">
        <v>37</v>
      </c>
      <c r="B7" s="1" t="s">
        <v>377</v>
      </c>
    </row>
    <row r="8" spans="1:24" x14ac:dyDescent="0.2">
      <c r="A8" s="34" t="s">
        <v>281</v>
      </c>
      <c r="B8" s="1" t="s">
        <v>304</v>
      </c>
    </row>
    <row r="9" spans="1:24" x14ac:dyDescent="0.2">
      <c r="A9" s="22"/>
    </row>
    <row r="10" spans="1:24"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v>43008</v>
      </c>
      <c r="Q10" s="33">
        <v>42916</v>
      </c>
      <c r="R10" s="33">
        <v>42825</v>
      </c>
      <c r="S10" s="33">
        <v>42735</v>
      </c>
      <c r="T10" s="33">
        <v>42643</v>
      </c>
      <c r="U10" s="33">
        <v>42551</v>
      </c>
      <c r="V10" s="33">
        <v>42460</v>
      </c>
      <c r="W10" s="33">
        <v>42369</v>
      </c>
      <c r="X10" s="33">
        <v>42277</v>
      </c>
    </row>
    <row r="12" spans="1:24" x14ac:dyDescent="0.2">
      <c r="A12" s="15" t="s">
        <v>35</v>
      </c>
      <c r="B12" s="19">
        <v>569.83799999999997</v>
      </c>
      <c r="C12" s="19">
        <v>629.35599999999999</v>
      </c>
      <c r="D12" s="19">
        <v>542.30399999999963</v>
      </c>
      <c r="E12" s="19">
        <v>542.22400000000005</v>
      </c>
      <c r="F12" s="19">
        <v>491.71199999999999</v>
      </c>
      <c r="G12" s="19">
        <v>492.83499999999998</v>
      </c>
      <c r="H12" s="19">
        <f>1943.174-I12-J12-K12</f>
        <v>483.61399999999992</v>
      </c>
      <c r="I12" s="19">
        <v>494.03699999999998</v>
      </c>
      <c r="J12" s="19">
        <v>462.2</v>
      </c>
      <c r="K12" s="19">
        <v>503.32299999999998</v>
      </c>
      <c r="L12" s="19">
        <f>1953.894-M12-N12-O12</f>
        <v>484.29899999999998</v>
      </c>
      <c r="M12" s="19">
        <v>493.22199999999998</v>
      </c>
      <c r="N12" s="19">
        <v>461.173</v>
      </c>
      <c r="O12" s="19">
        <v>515.20000000000005</v>
      </c>
      <c r="P12" s="19">
        <v>467.6</v>
      </c>
      <c r="Q12" s="19">
        <v>488.18299999999999</v>
      </c>
      <c r="R12" s="19">
        <v>694.91700000000003</v>
      </c>
      <c r="S12" s="19">
        <v>740.28700000000003</v>
      </c>
      <c r="T12" s="19">
        <f>3026.183-W12-V12-U12</f>
        <v>924.18800000000033</v>
      </c>
      <c r="U12" s="19">
        <v>550.202</v>
      </c>
      <c r="V12" s="19">
        <v>749.803</v>
      </c>
      <c r="W12" s="19">
        <v>801.99</v>
      </c>
      <c r="X12" s="19">
        <f>3226.124-2429.257</f>
        <v>796.86699999999973</v>
      </c>
    </row>
    <row r="13" spans="1:24" s="28" customFormat="1" x14ac:dyDescent="0.2">
      <c r="A13" s="28" t="s">
        <v>34</v>
      </c>
      <c r="B13" s="28">
        <f t="shared" ref="B13:T13" si="0">+B12/F12-1</f>
        <v>0.15888568918391255</v>
      </c>
      <c r="C13" s="28">
        <f t="shared" si="0"/>
        <v>0.27701157588239478</v>
      </c>
      <c r="D13" s="28">
        <f t="shared" si="0"/>
        <v>0.12135711538541005</v>
      </c>
      <c r="E13" s="28">
        <f t="shared" si="0"/>
        <v>9.7537228992970348E-2</v>
      </c>
      <c r="F13" s="28">
        <f t="shared" si="0"/>
        <v>6.3851146689744676E-2</v>
      </c>
      <c r="G13" s="28">
        <f t="shared" si="0"/>
        <v>-2.0837513882735359E-2</v>
      </c>
      <c r="H13" s="28">
        <f t="shared" si="0"/>
        <v>-1.4144154747378623E-3</v>
      </c>
      <c r="I13" s="28">
        <f t="shared" si="0"/>
        <v>1.6523999334985273E-3</v>
      </c>
      <c r="J13" s="28">
        <f t="shared" si="0"/>
        <v>2.2269300240906897E-3</v>
      </c>
      <c r="K13" s="28">
        <f t="shared" si="0"/>
        <v>-2.3053183229813756E-2</v>
      </c>
      <c r="L13" s="28">
        <f t="shared" si="0"/>
        <v>3.5712147134302707E-2</v>
      </c>
      <c r="M13" s="28">
        <f t="shared" si="0"/>
        <v>1.0321948941278247E-2</v>
      </c>
      <c r="N13" s="28">
        <f t="shared" si="0"/>
        <v>-0.33636247206500924</v>
      </c>
      <c r="O13" s="28">
        <f t="shared" si="0"/>
        <v>-0.30405369809276672</v>
      </c>
      <c r="P13" s="28">
        <f t="shared" si="0"/>
        <v>-0.49404233770618111</v>
      </c>
      <c r="Q13" s="28">
        <f t="shared" si="0"/>
        <v>-0.11272041904609575</v>
      </c>
      <c r="R13" s="28">
        <f t="shared" si="0"/>
        <v>-7.3200560680605431E-2</v>
      </c>
      <c r="S13" s="28">
        <f t="shared" si="0"/>
        <v>-7.6937368296362774E-2</v>
      </c>
      <c r="T13" s="28">
        <f t="shared" si="0"/>
        <v>0.15977697658455003</v>
      </c>
    </row>
    <row r="14" spans="1:24"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1"/>
      <c r="V14" s="31"/>
      <c r="W14" s="31"/>
      <c r="X14" s="31"/>
    </row>
    <row r="16" spans="1:24" s="22" customFormat="1" x14ac:dyDescent="0.2">
      <c r="A16" s="30" t="s">
        <v>31</v>
      </c>
      <c r="B16" s="29">
        <v>89.182999999999964</v>
      </c>
      <c r="C16" s="29">
        <v>142.44999999999999</v>
      </c>
      <c r="D16" s="29">
        <v>103.89999999999978</v>
      </c>
      <c r="E16" s="29">
        <v>115.4</v>
      </c>
      <c r="F16" s="29">
        <v>88.8</v>
      </c>
      <c r="G16" s="29">
        <v>86.399999999999991</v>
      </c>
      <c r="H16" s="29">
        <f>354.051-I16-J16-K16</f>
        <v>85.875999999999991</v>
      </c>
      <c r="I16" s="29">
        <v>89.766999999999996</v>
      </c>
      <c r="J16" s="29">
        <v>86.155000000000001</v>
      </c>
      <c r="K16" s="29">
        <v>92.253</v>
      </c>
      <c r="L16" s="29">
        <f>326.121-M16-N16-O16</f>
        <v>94.238</v>
      </c>
      <c r="M16" s="29">
        <v>79.2</v>
      </c>
      <c r="N16" s="29">
        <v>60.517000000000003</v>
      </c>
      <c r="O16" s="29">
        <v>92.165999999999997</v>
      </c>
      <c r="P16" s="29">
        <f>P22-P21-P20-P19</f>
        <v>57.902999999999999</v>
      </c>
      <c r="Q16" s="29">
        <v>71.599999999999994</v>
      </c>
      <c r="R16" s="29">
        <f>84.049+0.457</f>
        <v>84.506</v>
      </c>
      <c r="S16" s="29">
        <f>119.965+0.483</f>
        <v>120.44800000000001</v>
      </c>
      <c r="T16" s="29">
        <f>302.491+2.49-W16-V16-U16</f>
        <v>45.617999999999995</v>
      </c>
      <c r="U16" s="29">
        <f>117.565+0.5</f>
        <v>118.065</v>
      </c>
      <c r="V16" s="29">
        <f>67.706+0.823</f>
        <v>68.528999999999996</v>
      </c>
      <c r="W16" s="29">
        <f>71.996+0.773</f>
        <v>72.768999999999991</v>
      </c>
      <c r="X16" s="29">
        <f>355.674+2.845-(317.707+2.059)</f>
        <v>38.752999999999986</v>
      </c>
    </row>
    <row r="17" spans="1:24" s="28" customFormat="1" x14ac:dyDescent="0.2">
      <c r="A17" s="28" t="s">
        <v>30</v>
      </c>
      <c r="B17" s="28">
        <f t="shared" ref="B17" si="1">+B16/B12</f>
        <v>0.15650588412847155</v>
      </c>
      <c r="C17" s="28">
        <f t="shared" ref="C17:D17" si="2">+C16/C12</f>
        <v>0.22634248342750365</v>
      </c>
      <c r="D17" s="28">
        <f t="shared" si="2"/>
        <v>0.19158995692452913</v>
      </c>
      <c r="E17" s="28">
        <f t="shared" ref="E17:F17" si="3">+E16/E12</f>
        <v>0.21282717105845553</v>
      </c>
      <c r="F17" s="28">
        <f t="shared" si="3"/>
        <v>0.18059351815696995</v>
      </c>
      <c r="G17" s="28">
        <f t="shared" ref="G17:H17" si="4">+G16/G12</f>
        <v>0.17531222417239034</v>
      </c>
      <c r="H17" s="28">
        <f t="shared" si="4"/>
        <v>0.17757136890164471</v>
      </c>
      <c r="I17" s="28">
        <f t="shared" ref="I17:J17" si="5">+I16/I12</f>
        <v>0.18170096571714264</v>
      </c>
      <c r="J17" s="28">
        <f t="shared" si="5"/>
        <v>0.18640199048031156</v>
      </c>
      <c r="K17" s="28">
        <f t="shared" ref="K17:X17" si="6">+K16/K12</f>
        <v>0.18328786882379705</v>
      </c>
      <c r="L17" s="28">
        <f t="shared" si="6"/>
        <v>0.19458640220194551</v>
      </c>
      <c r="M17" s="28">
        <f t="shared" si="6"/>
        <v>0.16057677881359714</v>
      </c>
      <c r="N17" s="28">
        <f t="shared" si="6"/>
        <v>0.13122407426280377</v>
      </c>
      <c r="O17" s="28">
        <f t="shared" si="6"/>
        <v>0.17889363354037266</v>
      </c>
      <c r="P17" s="28">
        <f t="shared" si="6"/>
        <v>0.12383019674935841</v>
      </c>
      <c r="Q17" s="28">
        <f t="shared" si="6"/>
        <v>0.14666631160855662</v>
      </c>
      <c r="R17" s="28">
        <f t="shared" si="6"/>
        <v>0.1216058896242285</v>
      </c>
      <c r="S17" s="28">
        <f t="shared" si="6"/>
        <v>0.16270446461980287</v>
      </c>
      <c r="T17" s="28">
        <f t="shared" si="6"/>
        <v>4.9360086908724177E-2</v>
      </c>
      <c r="U17" s="28">
        <f t="shared" si="6"/>
        <v>0.21458482520965028</v>
      </c>
      <c r="V17" s="28">
        <f t="shared" si="6"/>
        <v>9.1396006684422437E-2</v>
      </c>
      <c r="W17" s="28">
        <f t="shared" si="6"/>
        <v>9.0735545330989154E-2</v>
      </c>
      <c r="X17" s="28">
        <f t="shared" si="6"/>
        <v>4.8631703910439257E-2</v>
      </c>
    </row>
    <row r="18" spans="1:24" s="23" customFormat="1" x14ac:dyDescent="0.2">
      <c r="B18" s="20"/>
      <c r="C18" s="20"/>
      <c r="D18" s="20"/>
      <c r="E18" s="20"/>
      <c r="F18" s="20"/>
      <c r="G18" s="20"/>
      <c r="H18" s="20"/>
      <c r="I18" s="20"/>
      <c r="J18" s="20"/>
      <c r="K18" s="20"/>
      <c r="L18" s="20"/>
      <c r="M18" s="20"/>
      <c r="N18" s="20"/>
      <c r="O18" s="20"/>
    </row>
    <row r="19" spans="1:24"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f>2.786+0.75+4.748</f>
        <v>8.2840000000000007</v>
      </c>
      <c r="T19" s="19">
        <v>0</v>
      </c>
      <c r="U19" s="19">
        <v>0</v>
      </c>
      <c r="V19" s="19">
        <v>0</v>
      </c>
      <c r="W19" s="19">
        <v>0</v>
      </c>
      <c r="X19" s="19">
        <v>0</v>
      </c>
    </row>
    <row r="20" spans="1:24"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row>
    <row r="21" spans="1:24"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f>0.262+0.75+1.06+2.968+37.152+5.8-5.596</f>
        <v>42.396000000000001</v>
      </c>
      <c r="R21" s="19">
        <f>8.568+0.75+2.2+0.393+11.761+5.875-4.847</f>
        <v>24.7</v>
      </c>
      <c r="S21" s="19">
        <f>2.825+12.224-4.541+7.525</f>
        <v>18.033000000000001</v>
      </c>
      <c r="T21" s="19">
        <f>6.942+3+5.034+33.153+82.327+58.895+39.55-14.061+0.125-W21-V21-U21</f>
        <v>58.30100000000003</v>
      </c>
      <c r="U21" s="19">
        <f>0.704+0.75+6.468+1.618+9.942+11.313-3.441-0.028</f>
        <v>27.326000000000004</v>
      </c>
      <c r="V21" s="19">
        <f>3.025+0.75+7.461+25.766+13.525+13.858+0.078</f>
        <v>64.462999999999994</v>
      </c>
      <c r="W21" s="19">
        <f>1.272+0.75+9.847+13.767+27.119+12.04+0.08</f>
        <v>64.874999999999986</v>
      </c>
      <c r="X21" s="19">
        <f>19.251+3+30.121+67.668+39.715+51.95+0.171-(13.487+2.25+18.088+7.374+24.436+29.768+0.101)</f>
        <v>116.37199999999997</v>
      </c>
    </row>
    <row r="22" spans="1:24" s="22" customFormat="1" x14ac:dyDescent="0.2">
      <c r="A22" s="22" t="s">
        <v>23</v>
      </c>
      <c r="B22" s="20">
        <f t="shared" ref="B22:C22" si="7">SUM(B16,B19:B21)</f>
        <v>89.182999999999964</v>
      </c>
      <c r="C22" s="20">
        <f t="shared" si="7"/>
        <v>142.44999999999999</v>
      </c>
      <c r="D22" s="20">
        <f t="shared" ref="D22:E22" si="8">SUM(D16,D19:D21)</f>
        <v>103.89999999999978</v>
      </c>
      <c r="E22" s="20">
        <f t="shared" si="8"/>
        <v>115.4</v>
      </c>
      <c r="F22" s="20">
        <f t="shared" ref="F22:G22" si="9">SUM(F16,F19:F21)</f>
        <v>88.8</v>
      </c>
      <c r="G22" s="20">
        <f t="shared" si="9"/>
        <v>86.399999999999991</v>
      </c>
      <c r="H22" s="20">
        <f t="shared" ref="H22:I22" si="10">SUM(H16,H19:H21)</f>
        <v>85.875999999999991</v>
      </c>
      <c r="I22" s="20">
        <f t="shared" si="10"/>
        <v>89.766999999999996</v>
      </c>
      <c r="J22" s="20">
        <f t="shared" ref="J22:O22" si="11">SUM(J16,J19:J21)</f>
        <v>86.155000000000001</v>
      </c>
      <c r="K22" s="20">
        <f t="shared" si="11"/>
        <v>92.253</v>
      </c>
      <c r="L22" s="20">
        <f t="shared" si="11"/>
        <v>94.238</v>
      </c>
      <c r="M22" s="20">
        <f t="shared" si="11"/>
        <v>79.2</v>
      </c>
      <c r="N22" s="20">
        <f t="shared" si="11"/>
        <v>60.517000000000003</v>
      </c>
      <c r="O22" s="20">
        <f t="shared" si="11"/>
        <v>92.165999999999997</v>
      </c>
      <c r="P22" s="20">
        <v>57.902999999999999</v>
      </c>
      <c r="Q22" s="20">
        <f t="shared" ref="Q22:X22" si="12">SUM(Q16,Q19:Q21)</f>
        <v>113.996</v>
      </c>
      <c r="R22" s="20">
        <f t="shared" si="12"/>
        <v>109.206</v>
      </c>
      <c r="S22" s="20">
        <f t="shared" si="12"/>
        <v>146.76499999999999</v>
      </c>
      <c r="T22" s="20">
        <f t="shared" si="12"/>
        <v>103.91900000000003</v>
      </c>
      <c r="U22" s="20">
        <f t="shared" si="12"/>
        <v>145.39099999999999</v>
      </c>
      <c r="V22" s="20">
        <f t="shared" si="12"/>
        <v>132.99199999999999</v>
      </c>
      <c r="W22" s="20">
        <f t="shared" si="12"/>
        <v>137.64399999999998</v>
      </c>
      <c r="X22" s="20">
        <f t="shared" si="12"/>
        <v>155.12499999999994</v>
      </c>
    </row>
    <row r="23" spans="1:24" s="22" customFormat="1" x14ac:dyDescent="0.2">
      <c r="P23" s="20"/>
      <c r="Q23" s="20"/>
      <c r="R23" s="20"/>
      <c r="S23" s="20"/>
      <c r="T23" s="20"/>
      <c r="U23" s="20"/>
      <c r="V23" s="20"/>
      <c r="W23" s="20"/>
      <c r="X23" s="20"/>
    </row>
    <row r="24" spans="1:24" s="22" customFormat="1" x14ac:dyDescent="0.2">
      <c r="A24" s="22" t="s">
        <v>27</v>
      </c>
      <c r="B24" s="63">
        <f t="shared" ref="B24:M24" si="13">SUM(B22:E22)</f>
        <v>450.93299999999977</v>
      </c>
      <c r="C24" s="63">
        <f t="shared" si="13"/>
        <v>450.54999999999978</v>
      </c>
      <c r="D24" s="63">
        <f t="shared" si="13"/>
        <v>394.49999999999977</v>
      </c>
      <c r="E24" s="63">
        <f t="shared" si="13"/>
        <v>376.47599999999994</v>
      </c>
      <c r="F24" s="63">
        <f t="shared" si="13"/>
        <v>350.84299999999996</v>
      </c>
      <c r="G24" s="63">
        <f t="shared" si="13"/>
        <v>348.19799999999998</v>
      </c>
      <c r="H24" s="63">
        <f t="shared" si="13"/>
        <v>354.05099999999999</v>
      </c>
      <c r="I24" s="63">
        <f t="shared" si="13"/>
        <v>362.41300000000001</v>
      </c>
      <c r="J24" s="63">
        <f t="shared" si="13"/>
        <v>351.846</v>
      </c>
      <c r="K24" s="63">
        <f t="shared" si="13"/>
        <v>326.20799999999997</v>
      </c>
      <c r="L24" s="63">
        <f t="shared" si="13"/>
        <v>326.12099999999998</v>
      </c>
      <c r="M24" s="63">
        <f t="shared" si="13"/>
        <v>289.786</v>
      </c>
      <c r="N24" s="20">
        <f t="shared" ref="N24:U24" si="14">SUM(N22:Q22)</f>
        <v>324.58199999999999</v>
      </c>
      <c r="O24" s="20">
        <f t="shared" si="14"/>
        <v>373.27100000000002</v>
      </c>
      <c r="P24" s="20">
        <f t="shared" si="14"/>
        <v>427.87</v>
      </c>
      <c r="Q24" s="20">
        <f t="shared" si="14"/>
        <v>473.88600000000002</v>
      </c>
      <c r="R24" s="20">
        <f t="shared" si="14"/>
        <v>505.28100000000006</v>
      </c>
      <c r="S24" s="20">
        <f t="shared" si="14"/>
        <v>529.06700000000001</v>
      </c>
      <c r="T24" s="20">
        <f t="shared" si="14"/>
        <v>519.94600000000003</v>
      </c>
      <c r="U24" s="20">
        <f t="shared" si="14"/>
        <v>571.15199999999982</v>
      </c>
      <c r="V24" s="20"/>
      <c r="W24" s="20"/>
      <c r="X24" s="20"/>
    </row>
    <row r="25" spans="1:24" s="23" customFormat="1" x14ac:dyDescent="0.2">
      <c r="A25" s="15" t="s">
        <v>26</v>
      </c>
      <c r="B25" s="27">
        <f>450.933-B24</f>
        <v>0</v>
      </c>
      <c r="C25" s="27">
        <f>450.55-C24</f>
        <v>0</v>
      </c>
      <c r="D25" s="27">
        <f>394.5-D24</f>
        <v>0</v>
      </c>
      <c r="E25" s="27">
        <f>376.476-E24</f>
        <v>0</v>
      </c>
      <c r="F25" s="27">
        <f>350.843-F24</f>
        <v>0</v>
      </c>
      <c r="G25" s="27">
        <f>339.2-G24</f>
        <v>-8.9979999999999905</v>
      </c>
      <c r="H25" s="27">
        <f>354.1-H24</f>
        <v>4.9000000000035016E-2</v>
      </c>
      <c r="I25" s="27">
        <f>359.307-I24</f>
        <v>-3.1059999999999945</v>
      </c>
      <c r="J25" s="27">
        <f>355.9-J24</f>
        <v>4.0539999999999736</v>
      </c>
      <c r="K25" s="27">
        <f>326.501-K24</f>
        <v>0.29300000000000637</v>
      </c>
      <c r="L25" s="27">
        <f>326.121-L24</f>
        <v>0</v>
      </c>
      <c r="M25" s="27">
        <f>309.3-M24</f>
        <v>19.51400000000001</v>
      </c>
      <c r="N25" s="27">
        <f>305.178-N24</f>
        <v>-19.403999999999996</v>
      </c>
      <c r="O25" s="27">
        <f>330.834-O24</f>
        <v>-42.437000000000012</v>
      </c>
      <c r="P25" s="27">
        <v>0</v>
      </c>
      <c r="Q25" s="27">
        <v>0</v>
      </c>
      <c r="R25" s="27">
        <v>0</v>
      </c>
      <c r="S25" s="27">
        <v>0</v>
      </c>
      <c r="T25" s="27">
        <v>0</v>
      </c>
      <c r="U25" s="27">
        <v>0</v>
      </c>
      <c r="V25" s="27"/>
      <c r="W25" s="27"/>
      <c r="X25" s="27"/>
    </row>
    <row r="26" spans="1:24"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6"/>
      <c r="W26" s="26"/>
      <c r="X26" s="26"/>
    </row>
    <row r="27" spans="1:24" s="24" customFormat="1" x14ac:dyDescent="0.2">
      <c r="A27" s="22" t="s">
        <v>24</v>
      </c>
      <c r="B27" s="20">
        <f t="shared" ref="B27" si="15">SUM(B24:B26)</f>
        <v>450.93299999999977</v>
      </c>
      <c r="C27" s="20">
        <f t="shared" ref="C27:D27" si="16">SUM(C24:C26)</f>
        <v>450.54999999999978</v>
      </c>
      <c r="D27" s="20">
        <f t="shared" si="16"/>
        <v>394.49999999999977</v>
      </c>
      <c r="E27" s="20">
        <f t="shared" ref="E27:F27" si="17">SUM(E24:E26)</f>
        <v>376.47599999999994</v>
      </c>
      <c r="F27" s="20">
        <f t="shared" si="17"/>
        <v>350.84299999999996</v>
      </c>
      <c r="G27" s="20">
        <f t="shared" ref="G27:H27" si="18">SUM(G24:G26)</f>
        <v>339.2</v>
      </c>
      <c r="H27" s="20">
        <f t="shared" si="18"/>
        <v>354.1</v>
      </c>
      <c r="I27" s="20">
        <f t="shared" ref="I27:M27" si="19">SUM(I24:I26)</f>
        <v>359.30700000000002</v>
      </c>
      <c r="J27" s="20">
        <f t="shared" si="19"/>
        <v>355.9</v>
      </c>
      <c r="K27" s="20">
        <f t="shared" si="19"/>
        <v>326.50099999999998</v>
      </c>
      <c r="L27" s="20">
        <f t="shared" si="19"/>
        <v>326.12099999999998</v>
      </c>
      <c r="M27" s="20">
        <f t="shared" si="19"/>
        <v>309.3</v>
      </c>
      <c r="N27" s="20">
        <f t="shared" ref="N27:U27" si="20">SUM(N24:N26)</f>
        <v>305.178</v>
      </c>
      <c r="O27" s="20">
        <f t="shared" si="20"/>
        <v>330.834</v>
      </c>
      <c r="P27" s="20">
        <f t="shared" si="20"/>
        <v>427.87</v>
      </c>
      <c r="Q27" s="20">
        <f t="shared" si="20"/>
        <v>473.88600000000002</v>
      </c>
      <c r="R27" s="20">
        <f t="shared" si="20"/>
        <v>505.28100000000006</v>
      </c>
      <c r="S27" s="20">
        <f t="shared" si="20"/>
        <v>529.06700000000001</v>
      </c>
      <c r="T27" s="20">
        <f t="shared" si="20"/>
        <v>519.94600000000003</v>
      </c>
      <c r="U27" s="20">
        <f t="shared" si="20"/>
        <v>571.15199999999982</v>
      </c>
      <c r="V27" s="25"/>
      <c r="W27" s="25"/>
      <c r="X27" s="25"/>
    </row>
    <row r="28" spans="1:24" s="23" customFormat="1" x14ac:dyDescent="0.2">
      <c r="B28" s="20"/>
      <c r="C28" s="20"/>
      <c r="D28" s="20"/>
      <c r="E28" s="20"/>
      <c r="F28" s="20"/>
      <c r="G28" s="20"/>
      <c r="H28" s="20"/>
      <c r="I28" s="20"/>
      <c r="J28" s="20"/>
      <c r="K28" s="20"/>
      <c r="L28" s="20"/>
    </row>
    <row r="29" spans="1:24" s="22" customFormat="1" x14ac:dyDescent="0.2">
      <c r="A29" s="22" t="s">
        <v>23</v>
      </c>
      <c r="B29" s="20">
        <f t="shared" ref="B29:C29" si="21">B22</f>
        <v>89.182999999999964</v>
      </c>
      <c r="C29" s="20">
        <f t="shared" si="21"/>
        <v>142.44999999999999</v>
      </c>
      <c r="D29" s="20">
        <f t="shared" ref="D29:E29" si="22">D22</f>
        <v>103.89999999999978</v>
      </c>
      <c r="E29" s="20">
        <f t="shared" si="22"/>
        <v>115.4</v>
      </c>
      <c r="F29" s="20">
        <f t="shared" ref="F29:H29" si="23">F22</f>
        <v>88.8</v>
      </c>
      <c r="G29" s="20">
        <f t="shared" si="23"/>
        <v>86.399999999999991</v>
      </c>
      <c r="H29" s="20">
        <f t="shared" si="23"/>
        <v>85.875999999999991</v>
      </c>
      <c r="I29" s="20">
        <f t="shared" ref="I29:X29" si="24">I22</f>
        <v>89.766999999999996</v>
      </c>
      <c r="J29" s="20">
        <f t="shared" si="24"/>
        <v>86.155000000000001</v>
      </c>
      <c r="K29" s="20">
        <f t="shared" si="24"/>
        <v>92.253</v>
      </c>
      <c r="L29" s="20">
        <f t="shared" si="24"/>
        <v>94.238</v>
      </c>
      <c r="M29" s="20">
        <f t="shared" si="24"/>
        <v>79.2</v>
      </c>
      <c r="N29" s="20">
        <f t="shared" si="24"/>
        <v>60.517000000000003</v>
      </c>
      <c r="O29" s="20">
        <f t="shared" si="24"/>
        <v>92.165999999999997</v>
      </c>
      <c r="P29" s="20">
        <f t="shared" si="24"/>
        <v>57.902999999999999</v>
      </c>
      <c r="Q29" s="20">
        <f t="shared" si="24"/>
        <v>113.996</v>
      </c>
      <c r="R29" s="20">
        <f t="shared" si="24"/>
        <v>109.206</v>
      </c>
      <c r="S29" s="20">
        <f t="shared" si="24"/>
        <v>146.76499999999999</v>
      </c>
      <c r="T29" s="20">
        <f t="shared" si="24"/>
        <v>103.91900000000003</v>
      </c>
      <c r="U29" s="20">
        <f t="shared" si="24"/>
        <v>145.39099999999999</v>
      </c>
      <c r="V29" s="20">
        <f t="shared" si="24"/>
        <v>132.99199999999999</v>
      </c>
      <c r="W29" s="20">
        <f t="shared" si="24"/>
        <v>137.64399999999998</v>
      </c>
      <c r="X29" s="20">
        <f t="shared" si="24"/>
        <v>155.12499999999994</v>
      </c>
    </row>
    <row r="30" spans="1:24" s="11" customFormat="1" x14ac:dyDescent="0.2">
      <c r="A30" s="19" t="s">
        <v>22</v>
      </c>
      <c r="B30" s="19">
        <v>-21.83</v>
      </c>
      <c r="C30" s="19">
        <v>-27.305</v>
      </c>
      <c r="D30" s="19">
        <v>-27.356000000000009</v>
      </c>
      <c r="E30" s="19">
        <v>-27.898999999999994</v>
      </c>
      <c r="F30" s="19">
        <v>-30.782</v>
      </c>
      <c r="G30" s="19">
        <v>-31.516999999999999</v>
      </c>
      <c r="H30" s="19">
        <v>-33.321000000000012</v>
      </c>
      <c r="I30" s="19">
        <v>-32.995999999999995</v>
      </c>
      <c r="J30" s="19">
        <f>-65.012-K30</f>
        <v>-32.677999999999997</v>
      </c>
      <c r="K30" s="19">
        <f>-34.46+2.126</f>
        <v>-32.334000000000003</v>
      </c>
      <c r="L30" s="19">
        <v>-33.813000000000002</v>
      </c>
      <c r="M30" s="19">
        <v>-33.173999999999999</v>
      </c>
      <c r="N30" s="19">
        <f>-58.134-O30</f>
        <v>-29.431999999999999</v>
      </c>
      <c r="O30" s="19">
        <f>-30.742+2.04</f>
        <v>-28.702000000000002</v>
      </c>
      <c r="P30" s="19">
        <v>-65.395478506034806</v>
      </c>
      <c r="Q30" s="19">
        <f>-141.985+11.976-S30-R30</f>
        <v>-39.601000000000013</v>
      </c>
      <c r="R30" s="19">
        <f>-99.699+9.291-S30</f>
        <v>-44.341999999999999</v>
      </c>
      <c r="S30" s="19">
        <f>-48.72+2.654</f>
        <v>-46.066000000000003</v>
      </c>
      <c r="T30" s="19">
        <v>0</v>
      </c>
      <c r="U30" s="19">
        <f>-213.464+41.226-W30-V30</f>
        <v>-76.858999999999995</v>
      </c>
      <c r="V30" s="19">
        <f>-109.123+13.744-W30</f>
        <v>-47.412000000000006</v>
      </c>
      <c r="W30" s="19">
        <f>-55.409+7.442</f>
        <v>-47.966999999999999</v>
      </c>
      <c r="X30" s="19">
        <v>0</v>
      </c>
    </row>
    <row r="31" spans="1:24" s="11" customFormat="1" x14ac:dyDescent="0.2">
      <c r="A31" s="19" t="s">
        <v>21</v>
      </c>
      <c r="B31" s="19">
        <v>4.5990000000000002</v>
      </c>
      <c r="C31" s="19">
        <v>-14.045999999999999</v>
      </c>
      <c r="D31" s="19">
        <v>-4.0219999999999994</v>
      </c>
      <c r="E31" s="19">
        <v>-2.4550000000000001</v>
      </c>
      <c r="F31" s="19">
        <v>-2.597</v>
      </c>
      <c r="G31" s="19">
        <v>-2.2280000000000002</v>
      </c>
      <c r="H31" s="19">
        <v>-1.5589999999999993</v>
      </c>
      <c r="I31" s="19">
        <v>-6.9379999999999988</v>
      </c>
      <c r="J31" s="19">
        <f>-8.88-K31</f>
        <v>-31.423999999999999</v>
      </c>
      <c r="K31" s="19">
        <f>21.3+1.244</f>
        <v>22.544</v>
      </c>
      <c r="L31" s="19">
        <v>-6.6970000000000027</v>
      </c>
      <c r="M31" s="19">
        <v>-1.0640000000000001</v>
      </c>
      <c r="N31" s="19">
        <f>272.627-246.913-O31</f>
        <v>7.8760000000000332</v>
      </c>
      <c r="O31" s="19">
        <f>265.578-247.74</f>
        <v>17.837999999999965</v>
      </c>
      <c r="P31" s="19">
        <f>108.329+13.47-10.476-3.807-S31-R31-Q31</f>
        <v>85.316999999999993</v>
      </c>
      <c r="Q31" s="19">
        <f>-8.099+30.298-S31-R31</f>
        <v>33.683999999999997</v>
      </c>
      <c r="R31" s="19">
        <f>-11.156-0.329-S31</f>
        <v>-23.832999999999998</v>
      </c>
      <c r="S31" s="19">
        <f>12.517-0.169</f>
        <v>12.347999999999999</v>
      </c>
      <c r="T31" s="19">
        <v>0</v>
      </c>
      <c r="U31" s="19">
        <f>59.136+14.816-W31-V31</f>
        <v>63.176000000000002</v>
      </c>
      <c r="V31" s="19">
        <f>6.139+4.637-W31</f>
        <v>18.855</v>
      </c>
      <c r="W31" s="19">
        <f>-8.898+0.819</f>
        <v>-8.0790000000000006</v>
      </c>
      <c r="X31" s="19">
        <v>0</v>
      </c>
    </row>
    <row r="32" spans="1:24" s="11" customFormat="1" x14ac:dyDescent="0.2">
      <c r="A32" s="19" t="s">
        <v>20</v>
      </c>
      <c r="B32" s="19">
        <v>-6.4839999999999947</v>
      </c>
      <c r="C32" s="19">
        <v>-60.600999999999999</v>
      </c>
      <c r="D32" s="19">
        <v>5.6079999999999899</v>
      </c>
      <c r="E32" s="19">
        <v>54.105000000000018</v>
      </c>
      <c r="F32" s="19">
        <v>11.767999999999997</v>
      </c>
      <c r="G32" s="19">
        <v>-40.410000000000004</v>
      </c>
      <c r="H32" s="19">
        <v>8.9579999999999984</v>
      </c>
      <c r="I32" s="19">
        <v>-6.625</v>
      </c>
      <c r="J32" s="19">
        <f>11.946+8.336+6.773-3.636-2.666-45.737-K32</f>
        <v>13.593000000000004</v>
      </c>
      <c r="K32" s="19">
        <f>-23.385+21.012-5.001+0.208-31.411</f>
        <v>-38.577000000000005</v>
      </c>
      <c r="L32" s="19">
        <v>61.186999999999998</v>
      </c>
      <c r="M32" s="19">
        <v>-6</v>
      </c>
      <c r="N32" s="19">
        <f>-3.152+30.119+619.722+4.601-13.861-678.018-O32</f>
        <v>-96.330000000000055</v>
      </c>
      <c r="O32" s="19">
        <f>-(-41.347+23.246+2.093-13.5-26.233)</f>
        <v>55.741</v>
      </c>
      <c r="P32" s="19">
        <f>25.548-5.679-2.925-44.143-21.763-16.176+7.537+23.005+14.44-S32-R32-Q32</f>
        <v>48.945999999999998</v>
      </c>
      <c r="Q32" s="19">
        <f>-10.759-17.255-1.538-13.3-26.25-S32-R32</f>
        <v>-43.499000000000002</v>
      </c>
      <c r="R32" s="19">
        <f>-29.081+6.036+2.224+4.104-8.886-S32</f>
        <v>26.420999999999999</v>
      </c>
      <c r="S32" s="19">
        <f>-47.587+27.591+1.588-9.127-24.489</f>
        <v>-52.024000000000001</v>
      </c>
      <c r="T32" s="19">
        <f>7.393+88.0878-12.205+7.833-73.478-W32-V32-U32</f>
        <v>127.4978</v>
      </c>
      <c r="U32" s="19">
        <f>-21.18+69.783-9.503-28.84-120.127-W32-V32</f>
        <v>-60.847999999999999</v>
      </c>
      <c r="V32" s="19">
        <f>-16.298+27.534-21.869-13.555-24.831-W32</f>
        <v>-18.543999999999997</v>
      </c>
      <c r="W32" s="19">
        <f>24.702+10.024-10.588+27.527-82.14</f>
        <v>-30.475000000000001</v>
      </c>
      <c r="X32" s="19">
        <f>-31.941-29.093+5.166+46.252+25.346-Y32</f>
        <v>15.730000000000008</v>
      </c>
    </row>
    <row r="33" spans="1:33" s="11" customFormat="1" x14ac:dyDescent="0.2">
      <c r="A33" s="19" t="s">
        <v>19</v>
      </c>
      <c r="B33" s="19">
        <f t="shared" ref="B33" si="25">-B19-B20-B21</f>
        <v>0</v>
      </c>
      <c r="C33" s="19">
        <f t="shared" ref="C33:D33" si="26">-C19-C20-C21</f>
        <v>0</v>
      </c>
      <c r="D33" s="19">
        <f t="shared" si="26"/>
        <v>0</v>
      </c>
      <c r="E33" s="19">
        <f t="shared" ref="E33:F33" si="27">-E19-E20-E21</f>
        <v>0</v>
      </c>
      <c r="F33" s="19">
        <f t="shared" si="27"/>
        <v>0</v>
      </c>
      <c r="G33" s="19">
        <f t="shared" ref="G33" si="28">-G19-G20-G21</f>
        <v>0</v>
      </c>
      <c r="H33" s="19">
        <f t="shared" ref="H33" si="29">-H19-H20-H21</f>
        <v>0</v>
      </c>
      <c r="I33" s="19">
        <f t="shared" ref="I33" si="30">-I19-I20-I21</f>
        <v>0</v>
      </c>
      <c r="J33" s="19">
        <v>0</v>
      </c>
      <c r="K33" s="19">
        <v>0</v>
      </c>
      <c r="L33" s="19">
        <v>0</v>
      </c>
      <c r="M33" s="19">
        <f t="shared" ref="M33:X33" si="31">-M19-M20-M21</f>
        <v>0</v>
      </c>
      <c r="N33" s="19">
        <f t="shared" si="31"/>
        <v>0</v>
      </c>
      <c r="O33" s="19">
        <f t="shared" si="31"/>
        <v>0</v>
      </c>
      <c r="P33" s="19">
        <f t="shared" si="31"/>
        <v>0</v>
      </c>
      <c r="Q33" s="19">
        <f t="shared" si="31"/>
        <v>-42.396000000000001</v>
      </c>
      <c r="R33" s="19">
        <f t="shared" si="31"/>
        <v>-24.7</v>
      </c>
      <c r="S33" s="19">
        <f t="shared" si="31"/>
        <v>-26.317</v>
      </c>
      <c r="T33" s="19">
        <f t="shared" si="31"/>
        <v>-58.30100000000003</v>
      </c>
      <c r="U33" s="19">
        <f t="shared" si="31"/>
        <v>-27.326000000000004</v>
      </c>
      <c r="V33" s="19">
        <f t="shared" si="31"/>
        <v>-64.462999999999994</v>
      </c>
      <c r="W33" s="19">
        <f t="shared" si="31"/>
        <v>-64.874999999999986</v>
      </c>
      <c r="X33" s="19">
        <f t="shared" si="31"/>
        <v>-116.37199999999997</v>
      </c>
    </row>
    <row r="34" spans="1:33" s="11" customFormat="1" x14ac:dyDescent="0.2">
      <c r="A34" s="19" t="s">
        <v>18</v>
      </c>
      <c r="B34" s="19">
        <v>0</v>
      </c>
      <c r="C34" s="19">
        <v>0</v>
      </c>
      <c r="D34" s="19">
        <v>0</v>
      </c>
      <c r="E34" s="19">
        <v>0</v>
      </c>
      <c r="F34" s="19">
        <v>0</v>
      </c>
      <c r="G34" s="19">
        <v>0</v>
      </c>
      <c r="H34" s="19">
        <v>0</v>
      </c>
      <c r="I34" s="19">
        <v>0</v>
      </c>
      <c r="J34" s="19">
        <v>0</v>
      </c>
      <c r="K34" s="19">
        <v>0</v>
      </c>
      <c r="L34" s="19">
        <v>0</v>
      </c>
      <c r="M34" s="19">
        <v>0</v>
      </c>
      <c r="N34" s="19">
        <v>0</v>
      </c>
      <c r="O34" s="19">
        <v>0</v>
      </c>
      <c r="P34" s="19">
        <v>0</v>
      </c>
      <c r="Q34" s="21">
        <f t="shared" ref="Q34:X34" si="32">Q35-SUM(Q29:Q33)</f>
        <v>-4.7259999999999707</v>
      </c>
      <c r="R34" s="21">
        <f t="shared" si="32"/>
        <v>24.105000000000004</v>
      </c>
      <c r="S34" s="21">
        <f t="shared" si="32"/>
        <v>-32.10899999999998</v>
      </c>
      <c r="T34" s="21">
        <f t="shared" si="32"/>
        <v>-54.317799999999977</v>
      </c>
      <c r="U34" s="21">
        <f t="shared" si="32"/>
        <v>-70.671999999999997</v>
      </c>
      <c r="V34" s="21">
        <f t="shared" si="32"/>
        <v>5.8140000000000036</v>
      </c>
      <c r="W34" s="21">
        <f t="shared" si="32"/>
        <v>39.856999999999999</v>
      </c>
      <c r="X34" s="21">
        <f t="shared" si="32"/>
        <v>-49.757999999999996</v>
      </c>
    </row>
    <row r="35" spans="1:33" s="20" customFormat="1" x14ac:dyDescent="0.2">
      <c r="A35" s="20" t="s">
        <v>17</v>
      </c>
      <c r="B35" s="82">
        <v>50.169000000000004</v>
      </c>
      <c r="C35" s="82">
        <v>16.594000000000001</v>
      </c>
      <c r="D35" s="82">
        <v>56.936999999999983</v>
      </c>
      <c r="E35" s="82">
        <v>102.018</v>
      </c>
      <c r="F35" s="82">
        <v>48.316000000000003</v>
      </c>
      <c r="G35" s="82">
        <v>-11.887</v>
      </c>
      <c r="H35" s="82">
        <f>85.982-I35-J35-K35</f>
        <v>13.867999999999995</v>
      </c>
      <c r="I35" s="82">
        <f>72.114-J35-K35</f>
        <v>18.805000000000007</v>
      </c>
      <c r="J35" s="82">
        <f>53.309-K35</f>
        <v>30.902999999999999</v>
      </c>
      <c r="K35" s="82">
        <v>22.405999999999999</v>
      </c>
      <c r="L35" s="82">
        <f>49.902-M35-N35-O35</f>
        <v>25.146000000000004</v>
      </c>
      <c r="M35" s="82">
        <f>24.756-N35-O35</f>
        <v>6.4009999999999998</v>
      </c>
      <c r="N35" s="82">
        <f>18.355-O35</f>
        <v>17.785</v>
      </c>
      <c r="O35" s="82">
        <v>0.56999999999999995</v>
      </c>
      <c r="P35" s="82">
        <f>-657.845+663.637-20.225-S35-R35-Q35</f>
        <v>-101.3450000000001</v>
      </c>
      <c r="Q35" s="20">
        <f>86.912-S35-R35</f>
        <v>17.458000000000013</v>
      </c>
      <c r="R35" s="20">
        <f>69.454-S35</f>
        <v>66.856999999999999</v>
      </c>
      <c r="S35" s="20">
        <v>2.597</v>
      </c>
      <c r="T35" s="20">
        <f>145.007-W35-V35-U35</f>
        <v>118.798</v>
      </c>
      <c r="U35" s="20">
        <f>26.209-W35-V35</f>
        <v>-27.138000000000002</v>
      </c>
      <c r="V35" s="20">
        <f>53.347-W35</f>
        <v>27.242000000000001</v>
      </c>
      <c r="W35" s="20">
        <v>26.105</v>
      </c>
      <c r="X35" s="20">
        <f>213.779-209.054</f>
        <v>4.7249999999999943</v>
      </c>
      <c r="AD35" s="11"/>
      <c r="AE35" s="11"/>
      <c r="AF35" s="11"/>
      <c r="AG35" s="11"/>
    </row>
    <row r="36" spans="1:33" s="11" customFormat="1" x14ac:dyDescent="0.2">
      <c r="A36" s="19" t="s">
        <v>16</v>
      </c>
      <c r="B36" s="21">
        <v>-10.364000000000001</v>
      </c>
      <c r="C36" s="21">
        <v>-15.683</v>
      </c>
      <c r="D36" s="21">
        <v>-11.548999999999996</v>
      </c>
      <c r="E36" s="21">
        <v>-9.1870000000000012</v>
      </c>
      <c r="F36" s="21">
        <v>-8.5869999999999997</v>
      </c>
      <c r="G36" s="21">
        <v>-8.1509999999999998</v>
      </c>
      <c r="H36" s="21">
        <f>-31.392-I36-J36-K36</f>
        <v>-12.635999999999999</v>
      </c>
      <c r="I36" s="21">
        <f>-18.756-J36-K36</f>
        <v>-6.0099999999999989</v>
      </c>
      <c r="J36" s="21">
        <f>-12.746-K36</f>
        <v>-5.0770000000000008</v>
      </c>
      <c r="K36" s="21">
        <v>-7.6689999999999996</v>
      </c>
      <c r="L36" s="21">
        <f>-35.271-M36-N36-O36</f>
        <v>-8.0210000000000008</v>
      </c>
      <c r="M36" s="21">
        <f>-27.25-N36-O36</f>
        <v>-8.6580000000000013</v>
      </c>
      <c r="N36" s="21">
        <f>-18.592-O36</f>
        <v>-8.2079999999999984</v>
      </c>
      <c r="O36" s="21">
        <v>-10.384</v>
      </c>
      <c r="P36" s="21">
        <f>-105.948-S36-R36-Q36</f>
        <v>-33.594999999999999</v>
      </c>
      <c r="Q36" s="21">
        <f>-72.353-S36-R36</f>
        <v>-25.352</v>
      </c>
      <c r="R36" s="21">
        <f>-47.001-S36</f>
        <v>-24.715999999999998</v>
      </c>
      <c r="S36" s="21">
        <v>-22.285</v>
      </c>
      <c r="T36" s="21">
        <f>-149.476-W36-V36-U36</f>
        <v>-41.540999999999997</v>
      </c>
      <c r="U36" s="21">
        <f>-107.935-W36-V36</f>
        <v>-30.468000000000004</v>
      </c>
      <c r="V36" s="21">
        <f>-77.467-W36</f>
        <v>-37.429000000000002</v>
      </c>
      <c r="W36" s="21">
        <v>-40.037999999999997</v>
      </c>
      <c r="X36" s="21">
        <f>-115.46+83.592</f>
        <v>-31.867999999999995</v>
      </c>
    </row>
    <row r="37" spans="1:33" s="20" customFormat="1" x14ac:dyDescent="0.2">
      <c r="A37" s="20" t="s">
        <v>15</v>
      </c>
      <c r="B37" s="20">
        <f t="shared" ref="B37:X37" si="33">+B35+B36</f>
        <v>39.805000000000007</v>
      </c>
      <c r="C37" s="20">
        <f t="shared" si="33"/>
        <v>0.91100000000000136</v>
      </c>
      <c r="D37" s="20">
        <f t="shared" si="33"/>
        <v>45.387999999999991</v>
      </c>
      <c r="E37" s="20">
        <f t="shared" si="33"/>
        <v>92.831000000000003</v>
      </c>
      <c r="F37" s="20">
        <f t="shared" si="33"/>
        <v>39.728999999999999</v>
      </c>
      <c r="G37" s="20">
        <f t="shared" si="33"/>
        <v>-20.038</v>
      </c>
      <c r="H37" s="20">
        <f t="shared" si="33"/>
        <v>1.2319999999999958</v>
      </c>
      <c r="I37" s="20">
        <f t="shared" si="33"/>
        <v>12.795000000000009</v>
      </c>
      <c r="J37" s="20">
        <f t="shared" si="33"/>
        <v>25.825999999999997</v>
      </c>
      <c r="K37" s="20">
        <f t="shared" si="33"/>
        <v>14.736999999999998</v>
      </c>
      <c r="L37" s="20">
        <f t="shared" si="33"/>
        <v>17.125000000000004</v>
      </c>
      <c r="M37" s="20">
        <f t="shared" si="33"/>
        <v>-2.2570000000000014</v>
      </c>
      <c r="N37" s="20">
        <f t="shared" si="33"/>
        <v>9.5770000000000017</v>
      </c>
      <c r="O37" s="20">
        <f t="shared" si="33"/>
        <v>-9.8140000000000001</v>
      </c>
      <c r="P37" s="20">
        <f t="shared" si="33"/>
        <v>-134.94000000000011</v>
      </c>
      <c r="Q37" s="20">
        <f t="shared" si="33"/>
        <v>-7.8939999999999877</v>
      </c>
      <c r="R37" s="20">
        <f t="shared" si="33"/>
        <v>42.141000000000005</v>
      </c>
      <c r="S37" s="20">
        <f t="shared" si="33"/>
        <v>-19.687999999999999</v>
      </c>
      <c r="T37" s="20">
        <f t="shared" si="33"/>
        <v>77.257000000000005</v>
      </c>
      <c r="U37" s="20">
        <f t="shared" si="33"/>
        <v>-57.606000000000009</v>
      </c>
      <c r="V37" s="20">
        <f t="shared" si="33"/>
        <v>-10.187000000000001</v>
      </c>
      <c r="W37" s="20">
        <f t="shared" si="33"/>
        <v>-13.932999999999996</v>
      </c>
      <c r="X37" s="20">
        <f t="shared" si="33"/>
        <v>-27.143000000000001</v>
      </c>
      <c r="AD37" s="11"/>
      <c r="AE37" s="11"/>
      <c r="AF37" s="11"/>
      <c r="AG37" s="11"/>
    </row>
    <row r="38" spans="1:33" x14ac:dyDescent="0.2">
      <c r="B38" s="64"/>
      <c r="C38" s="64"/>
      <c r="D38" s="64"/>
      <c r="E38" s="64"/>
      <c r="F38" s="64"/>
      <c r="G38" s="64"/>
      <c r="H38" s="64"/>
      <c r="I38" s="64"/>
      <c r="J38" s="64"/>
      <c r="K38" s="64"/>
      <c r="L38" s="64"/>
      <c r="M38" s="64"/>
      <c r="N38" s="64"/>
      <c r="O38" s="64"/>
      <c r="P38" s="64"/>
      <c r="Q38" s="64"/>
    </row>
    <row r="39" spans="1:33" s="16" customFormat="1" x14ac:dyDescent="0.2">
      <c r="A39" s="18" t="s">
        <v>14</v>
      </c>
      <c r="B39" s="19">
        <v>110</v>
      </c>
      <c r="C39" s="19">
        <v>110</v>
      </c>
      <c r="D39" s="19">
        <v>110</v>
      </c>
      <c r="E39" s="19">
        <v>110</v>
      </c>
      <c r="F39" s="19">
        <v>110</v>
      </c>
      <c r="G39" s="19">
        <v>110</v>
      </c>
      <c r="H39" s="19">
        <v>110</v>
      </c>
      <c r="I39" s="19">
        <v>110</v>
      </c>
      <c r="J39" s="19">
        <v>110</v>
      </c>
      <c r="K39" s="19">
        <v>30</v>
      </c>
      <c r="L39" s="19">
        <v>30</v>
      </c>
      <c r="M39" s="19">
        <v>30</v>
      </c>
      <c r="N39" s="19">
        <v>30</v>
      </c>
      <c r="O39" s="19">
        <v>45</v>
      </c>
      <c r="P39" s="19">
        <v>45</v>
      </c>
      <c r="Q39" s="19">
        <v>0</v>
      </c>
      <c r="R39" s="19">
        <v>162.339</v>
      </c>
      <c r="S39" s="19">
        <v>160.38499999999999</v>
      </c>
      <c r="T39" s="19">
        <v>0</v>
      </c>
      <c r="U39" s="19">
        <v>174.08099999999999</v>
      </c>
      <c r="V39" s="19"/>
      <c r="W39" s="19"/>
      <c r="X39" s="19"/>
    </row>
    <row r="40" spans="1:33" s="16" customFormat="1" x14ac:dyDescent="0.2">
      <c r="A40" s="18" t="s">
        <v>13</v>
      </c>
      <c r="B40" s="19">
        <f>1520.16575-B39</f>
        <v>1410.1657499999999</v>
      </c>
      <c r="C40" s="19">
        <f>1527.5-C39</f>
        <v>1417.5</v>
      </c>
      <c r="D40" s="19">
        <f>1415+3.6</f>
        <v>1418.6</v>
      </c>
      <c r="E40" s="19">
        <f>1417.1+3.6</f>
        <v>1420.6999999999998</v>
      </c>
      <c r="F40" s="19">
        <f>1418.9+3.6</f>
        <v>1422.5</v>
      </c>
      <c r="G40" s="19">
        <f>1420.6+4</f>
        <v>1424.6</v>
      </c>
      <c r="H40" s="19">
        <f>1470+3.795</f>
        <v>1473.7950000000001</v>
      </c>
      <c r="I40" s="19">
        <f>1473.75+4.003</f>
        <v>1477.7529999999999</v>
      </c>
      <c r="J40" s="19">
        <f>1477.5+4.196</f>
        <v>1481.6959999999999</v>
      </c>
      <c r="K40" s="19">
        <f>1481.25+4.4</f>
        <v>1485.65</v>
      </c>
      <c r="L40" s="19">
        <f>1485+4.374</f>
        <v>1489.374</v>
      </c>
      <c r="M40" s="19">
        <f>1831.7-400</f>
        <v>1431.7</v>
      </c>
      <c r="N40" s="19">
        <f>1492.5+4.898</f>
        <v>1497.3979999999999</v>
      </c>
      <c r="O40" s="19">
        <f>1496.25</f>
        <v>1496.25</v>
      </c>
      <c r="P40" s="19">
        <f>1500</f>
        <v>1500</v>
      </c>
      <c r="Q40" s="19">
        <v>1400</v>
      </c>
      <c r="R40" s="19">
        <f>1320.042+433.741+45.249</f>
        <v>1799.0319999999999</v>
      </c>
      <c r="S40" s="19">
        <f>1323.35+429.612+44.986</f>
        <v>1797.9480000000001</v>
      </c>
      <c r="T40" s="19">
        <f>1326.675+452.784</f>
        <v>1779.4589999999998</v>
      </c>
      <c r="U40" s="19">
        <f>1330+468.643+49.42</f>
        <v>1848.0630000000001</v>
      </c>
      <c r="V40" s="19"/>
      <c r="W40" s="19"/>
      <c r="X40" s="19"/>
    </row>
    <row r="41" spans="1:33" s="16" customFormat="1" x14ac:dyDescent="0.2">
      <c r="A41" s="18" t="s">
        <v>12</v>
      </c>
      <c r="B41" s="19">
        <f t="shared" ref="B41:L41" si="34">B39+B40+400</f>
        <v>1920.1657499999999</v>
      </c>
      <c r="C41" s="19">
        <f t="shared" si="34"/>
        <v>1927.5</v>
      </c>
      <c r="D41" s="19">
        <f t="shared" si="34"/>
        <v>1928.6</v>
      </c>
      <c r="E41" s="19">
        <f t="shared" si="34"/>
        <v>1930.6999999999998</v>
      </c>
      <c r="F41" s="19">
        <f t="shared" si="34"/>
        <v>1932.5</v>
      </c>
      <c r="G41" s="19">
        <f t="shared" si="34"/>
        <v>1934.6</v>
      </c>
      <c r="H41" s="19">
        <f t="shared" si="34"/>
        <v>1983.7950000000001</v>
      </c>
      <c r="I41" s="19">
        <f t="shared" si="34"/>
        <v>1987.7529999999999</v>
      </c>
      <c r="J41" s="19">
        <f t="shared" si="34"/>
        <v>1991.6959999999999</v>
      </c>
      <c r="K41" s="19">
        <f t="shared" si="34"/>
        <v>1915.65</v>
      </c>
      <c r="L41" s="19">
        <f t="shared" si="34"/>
        <v>1919.374</v>
      </c>
      <c r="M41" s="19">
        <f>M39+M40+4.5+400</f>
        <v>1866.2</v>
      </c>
      <c r="N41" s="19">
        <f>N39+N40+400</f>
        <v>1927.3979999999999</v>
      </c>
      <c r="O41" s="19">
        <f>O39+O40+ 400+4.806</f>
        <v>1946.056</v>
      </c>
      <c r="P41" s="19">
        <f>P39+P40+400+4.814</f>
        <v>1949.8140000000001</v>
      </c>
      <c r="Q41" s="19">
        <f>Q40+500</f>
        <v>1900</v>
      </c>
      <c r="R41" s="19">
        <f>R39+R40+1075+4.662</f>
        <v>3041.0329999999999</v>
      </c>
      <c r="S41" s="19">
        <f>S39+S40+1075+24.379+4.688</f>
        <v>3062.4</v>
      </c>
      <c r="T41" s="19">
        <f>T39+T40+25.453+5.015</f>
        <v>1809.9269999999999</v>
      </c>
      <c r="U41" s="19">
        <f>U39+U40+1075+26.096+6.06</f>
        <v>3129.3</v>
      </c>
      <c r="V41" s="19"/>
      <c r="W41" s="19"/>
      <c r="X41" s="19"/>
    </row>
    <row r="42" spans="1:33" s="16" customFormat="1" x14ac:dyDescent="0.2">
      <c r="A42" s="18" t="s">
        <v>11</v>
      </c>
      <c r="B42" s="17">
        <v>1130</v>
      </c>
      <c r="C42" s="17">
        <v>1130</v>
      </c>
      <c r="D42" s="17">
        <v>1130</v>
      </c>
      <c r="E42" s="17">
        <v>1130</v>
      </c>
      <c r="F42" s="17">
        <v>1130</v>
      </c>
      <c r="G42" s="17">
        <v>1130</v>
      </c>
      <c r="H42" s="17">
        <v>1130</v>
      </c>
      <c r="I42" s="17">
        <v>1130</v>
      </c>
      <c r="J42" s="17">
        <v>1130</v>
      </c>
      <c r="K42" s="17">
        <v>1130</v>
      </c>
      <c r="L42" s="17">
        <v>1130</v>
      </c>
      <c r="M42" s="17">
        <v>1130</v>
      </c>
      <c r="N42" s="17">
        <v>1130</v>
      </c>
      <c r="O42" s="17">
        <v>1130</v>
      </c>
      <c r="P42" s="17">
        <v>1130</v>
      </c>
      <c r="Q42" s="17">
        <v>1130</v>
      </c>
      <c r="R42" s="17">
        <v>1130</v>
      </c>
      <c r="S42" s="17">
        <v>1130</v>
      </c>
      <c r="T42" s="17">
        <v>1130</v>
      </c>
      <c r="U42" s="17">
        <v>1130</v>
      </c>
      <c r="V42" s="17"/>
      <c r="W42" s="17"/>
      <c r="X42" s="17"/>
    </row>
    <row r="43" spans="1:33" x14ac:dyDescent="0.2">
      <c r="B43" s="16"/>
      <c r="C43" s="16"/>
      <c r="D43" s="16"/>
      <c r="E43" s="16"/>
      <c r="F43" s="16"/>
      <c r="G43" s="16"/>
      <c r="H43" s="16"/>
      <c r="I43" s="16"/>
      <c r="J43" s="16"/>
      <c r="K43" s="16"/>
      <c r="L43" s="16"/>
      <c r="M43" s="16"/>
      <c r="N43" s="16"/>
      <c r="O43" s="16"/>
      <c r="P43" s="16"/>
      <c r="Q43" s="16"/>
      <c r="R43" s="16"/>
      <c r="S43" s="16"/>
    </row>
    <row r="44" spans="1:33" x14ac:dyDescent="0.2">
      <c r="A44" s="15" t="s">
        <v>10</v>
      </c>
      <c r="B44" s="14">
        <v>80.930000000000007</v>
      </c>
      <c r="C44" s="14">
        <v>44.752000000000002</v>
      </c>
      <c r="D44" s="14">
        <v>45.984999999999999</v>
      </c>
      <c r="E44" s="14">
        <v>207.5</v>
      </c>
      <c r="F44" s="14">
        <v>118.399</v>
      </c>
      <c r="G44" s="14">
        <v>63.1</v>
      </c>
      <c r="H44" s="14">
        <v>76.941999999999993</v>
      </c>
      <c r="I44" s="14">
        <v>80.400999999999996</v>
      </c>
      <c r="J44" s="14">
        <v>71.519000000000005</v>
      </c>
      <c r="K44" s="14">
        <v>57</v>
      </c>
      <c r="L44" s="14">
        <v>46.768999999999998</v>
      </c>
      <c r="M44" s="14">
        <v>34.008000000000003</v>
      </c>
      <c r="N44" s="14">
        <v>40.100999999999999</v>
      </c>
      <c r="O44" s="14">
        <v>33.289000000000001</v>
      </c>
      <c r="P44" s="14">
        <v>71.423000000000002</v>
      </c>
      <c r="Q44" s="14">
        <v>165.91800000000001</v>
      </c>
      <c r="R44" s="14">
        <v>216.36799999999999</v>
      </c>
      <c r="S44" s="14">
        <v>202.446</v>
      </c>
      <c r="T44" s="14">
        <v>181.16</v>
      </c>
      <c r="U44" s="14">
        <v>0</v>
      </c>
      <c r="V44" s="14"/>
      <c r="W44" s="14"/>
      <c r="X44" s="14"/>
    </row>
    <row r="46" spans="1:33" x14ac:dyDescent="0.2">
      <c r="A46" s="1" t="s">
        <v>9</v>
      </c>
      <c r="B46" s="11">
        <f t="shared" ref="B46:J46" si="35">SUM(B12:E12)</f>
        <v>2283.7219999999998</v>
      </c>
      <c r="C46" s="11">
        <f t="shared" si="35"/>
        <v>2205.5959999999995</v>
      </c>
      <c r="D46" s="11">
        <f t="shared" si="35"/>
        <v>2069.0749999999998</v>
      </c>
      <c r="E46" s="11">
        <f t="shared" si="35"/>
        <v>2010.3850000000002</v>
      </c>
      <c r="F46" s="11">
        <f t="shared" si="35"/>
        <v>1962.1980000000001</v>
      </c>
      <c r="G46" s="11">
        <f t="shared" si="35"/>
        <v>1932.6859999999999</v>
      </c>
      <c r="H46" s="11">
        <f t="shared" si="35"/>
        <v>1943.174</v>
      </c>
      <c r="I46" s="11">
        <f t="shared" si="35"/>
        <v>1943.8589999999999</v>
      </c>
      <c r="J46" s="11">
        <f t="shared" si="35"/>
        <v>1943.0439999999999</v>
      </c>
      <c r="K46" s="11">
        <f t="shared" ref="K46:U46" si="36">SUM(K12:N12)</f>
        <v>1942.0170000000001</v>
      </c>
      <c r="L46" s="11">
        <f t="shared" si="36"/>
        <v>1953.894</v>
      </c>
      <c r="M46" s="11">
        <f t="shared" si="36"/>
        <v>1937.1950000000002</v>
      </c>
      <c r="N46" s="11">
        <f t="shared" si="36"/>
        <v>1932.1559999999999</v>
      </c>
      <c r="O46" s="11">
        <f t="shared" si="36"/>
        <v>2165.9</v>
      </c>
      <c r="P46" s="11">
        <f t="shared" si="36"/>
        <v>2390.9870000000001</v>
      </c>
      <c r="Q46" s="11">
        <f t="shared" si="36"/>
        <v>2847.5750000000003</v>
      </c>
      <c r="R46" s="11">
        <f t="shared" si="36"/>
        <v>2909.594000000001</v>
      </c>
      <c r="S46" s="11">
        <f t="shared" si="36"/>
        <v>2964.4800000000005</v>
      </c>
      <c r="T46" s="11">
        <f t="shared" si="36"/>
        <v>3026.183</v>
      </c>
      <c r="U46" s="11">
        <f t="shared" si="36"/>
        <v>2898.8619999999996</v>
      </c>
    </row>
    <row r="47" spans="1:33" x14ac:dyDescent="0.2">
      <c r="A47" s="1" t="s">
        <v>8</v>
      </c>
      <c r="B47" s="11">
        <f t="shared" ref="B47:C47" si="37">+B27</f>
        <v>450.93299999999977</v>
      </c>
      <c r="C47" s="11">
        <f t="shared" si="37"/>
        <v>450.54999999999978</v>
      </c>
      <c r="D47" s="11">
        <f t="shared" ref="D47:E47" si="38">+D27</f>
        <v>394.49999999999977</v>
      </c>
      <c r="E47" s="11">
        <f t="shared" si="38"/>
        <v>376.47599999999994</v>
      </c>
      <c r="F47" s="11">
        <f t="shared" ref="F47:G47" si="39">+F27</f>
        <v>350.84299999999996</v>
      </c>
      <c r="G47" s="11">
        <f t="shared" si="39"/>
        <v>339.2</v>
      </c>
      <c r="H47" s="11">
        <f t="shared" ref="H47:I47" si="40">+H27</f>
        <v>354.1</v>
      </c>
      <c r="I47" s="11">
        <f t="shared" si="40"/>
        <v>359.30700000000002</v>
      </c>
      <c r="J47" s="11">
        <f t="shared" ref="J47:U47" si="41">+J27</f>
        <v>355.9</v>
      </c>
      <c r="K47" s="11">
        <f t="shared" si="41"/>
        <v>326.50099999999998</v>
      </c>
      <c r="L47" s="11">
        <f t="shared" si="41"/>
        <v>326.12099999999998</v>
      </c>
      <c r="M47" s="11">
        <f t="shared" si="41"/>
        <v>309.3</v>
      </c>
      <c r="N47" s="11">
        <f t="shared" si="41"/>
        <v>305.178</v>
      </c>
      <c r="O47" s="11">
        <f t="shared" si="41"/>
        <v>330.834</v>
      </c>
      <c r="P47" s="11">
        <f t="shared" si="41"/>
        <v>427.87</v>
      </c>
      <c r="Q47" s="11">
        <f t="shared" si="41"/>
        <v>473.88600000000002</v>
      </c>
      <c r="R47" s="11">
        <f t="shared" si="41"/>
        <v>505.28100000000006</v>
      </c>
      <c r="S47" s="11">
        <f t="shared" si="41"/>
        <v>529.06700000000001</v>
      </c>
      <c r="T47" s="11">
        <f t="shared" si="41"/>
        <v>519.94600000000003</v>
      </c>
      <c r="U47" s="11">
        <f t="shared" si="41"/>
        <v>571.15199999999982</v>
      </c>
    </row>
    <row r="48" spans="1:33" x14ac:dyDescent="0.2">
      <c r="A48" s="1" t="s">
        <v>7</v>
      </c>
      <c r="B48" s="11">
        <f t="shared" ref="B48:U48" si="42">+SUM(B37:E37)</f>
        <v>178.935</v>
      </c>
      <c r="C48" s="11">
        <f t="shared" si="42"/>
        <v>178.85899999999998</v>
      </c>
      <c r="D48" s="11">
        <f t="shared" si="42"/>
        <v>157.90999999999997</v>
      </c>
      <c r="E48" s="11">
        <f t="shared" si="42"/>
        <v>113.754</v>
      </c>
      <c r="F48" s="11">
        <f t="shared" si="42"/>
        <v>33.718000000000004</v>
      </c>
      <c r="G48" s="11">
        <f t="shared" si="42"/>
        <v>19.815000000000001</v>
      </c>
      <c r="H48" s="11">
        <f t="shared" si="42"/>
        <v>54.59</v>
      </c>
      <c r="I48" s="11">
        <f t="shared" si="42"/>
        <v>70.483000000000004</v>
      </c>
      <c r="J48" s="11">
        <f t="shared" si="42"/>
        <v>55.430999999999997</v>
      </c>
      <c r="K48" s="11">
        <f t="shared" si="42"/>
        <v>39.182000000000002</v>
      </c>
      <c r="L48" s="11">
        <f t="shared" si="42"/>
        <v>14.631000000000004</v>
      </c>
      <c r="M48" s="11">
        <f t="shared" si="42"/>
        <v>-137.43400000000011</v>
      </c>
      <c r="N48" s="11">
        <f t="shared" si="42"/>
        <v>-143.07100000000008</v>
      </c>
      <c r="O48" s="11">
        <f t="shared" si="42"/>
        <v>-110.50700000000008</v>
      </c>
      <c r="P48" s="11">
        <f t="shared" si="42"/>
        <v>-120.38100000000009</v>
      </c>
      <c r="Q48" s="11">
        <f t="shared" si="42"/>
        <v>91.816000000000017</v>
      </c>
      <c r="R48" s="11">
        <f t="shared" si="42"/>
        <v>42.103999999999999</v>
      </c>
      <c r="S48" s="11">
        <f t="shared" si="42"/>
        <v>-10.224000000000007</v>
      </c>
      <c r="T48" s="11">
        <f t="shared" si="42"/>
        <v>-4.4690000000000012</v>
      </c>
      <c r="U48" s="11">
        <f t="shared" si="42"/>
        <v>-108.869</v>
      </c>
    </row>
    <row r="50" spans="1:24" s="10" customFormat="1" x14ac:dyDescent="0.2">
      <c r="A50" s="10" t="s">
        <v>6</v>
      </c>
      <c r="B50" s="10">
        <f t="shared" ref="B50:C50" si="43">+SUM(B39:B40)/B47</f>
        <v>3.3711565798023226</v>
      </c>
      <c r="C50" s="10">
        <f t="shared" si="43"/>
        <v>3.3903007435356804</v>
      </c>
      <c r="D50" s="10">
        <f t="shared" ref="D50:E50" si="44">+SUM(D39:D40)/D47</f>
        <v>3.8747782002534876</v>
      </c>
      <c r="E50" s="10">
        <f t="shared" si="44"/>
        <v>4.0658634282132198</v>
      </c>
      <c r="F50" s="10">
        <f t="shared" ref="F50:G50" si="45">+SUM(F39:F40)/F47</f>
        <v>4.3680506665374548</v>
      </c>
      <c r="G50" s="10">
        <f t="shared" si="45"/>
        <v>4.524174528301887</v>
      </c>
      <c r="H50" s="10">
        <f t="shared" ref="H50:I50" si="46">+SUM(H39:H40)/H47</f>
        <v>4.4727336910477264</v>
      </c>
      <c r="I50" s="10">
        <f t="shared" si="46"/>
        <v>4.4189314430278284</v>
      </c>
      <c r="J50" s="10">
        <f t="shared" ref="J50:K50" si="47">+SUM(J39:J40)/J47</f>
        <v>4.4723124473166624</v>
      </c>
      <c r="K50" s="10">
        <f t="shared" si="47"/>
        <v>4.6420991053626182</v>
      </c>
      <c r="L50" s="10">
        <f t="shared" ref="L50:M50" si="48">+SUM(L39:L40)/L47</f>
        <v>4.6589272079994855</v>
      </c>
      <c r="M50" s="10">
        <f t="shared" si="48"/>
        <v>4.7258325250565791</v>
      </c>
      <c r="N50" s="10">
        <f t="shared" ref="N50:U50" si="49">+SUM(N39:N40)/N47</f>
        <v>5.0049413784742018</v>
      </c>
      <c r="O50" s="10">
        <f t="shared" si="49"/>
        <v>4.6586807885525667</v>
      </c>
      <c r="P50" s="10">
        <f t="shared" si="49"/>
        <v>3.6109098557973214</v>
      </c>
      <c r="Q50" s="10">
        <f t="shared" si="49"/>
        <v>2.9542970250228957</v>
      </c>
      <c r="R50" s="10">
        <f t="shared" si="49"/>
        <v>3.8817430301159148</v>
      </c>
      <c r="S50" s="10">
        <f t="shared" si="49"/>
        <v>3.7014839330368368</v>
      </c>
      <c r="T50" s="10">
        <f t="shared" si="49"/>
        <v>3.4223919407015337</v>
      </c>
      <c r="U50" s="10">
        <f t="shared" si="49"/>
        <v>3.5404655853433074</v>
      </c>
    </row>
    <row r="51" spans="1:24" s="10" customFormat="1" x14ac:dyDescent="0.2">
      <c r="A51" s="10" t="s">
        <v>5</v>
      </c>
      <c r="B51" s="10">
        <f t="shared" ref="B51:C51" si="50">+B41/B47</f>
        <v>4.2582063188988188</v>
      </c>
      <c r="C51" s="10">
        <f t="shared" si="50"/>
        <v>4.2781045388969057</v>
      </c>
      <c r="D51" s="10">
        <f t="shared" ref="D51:E51" si="51">+D41/D47</f>
        <v>4.8887198986058324</v>
      </c>
      <c r="E51" s="10">
        <f t="shared" si="51"/>
        <v>5.1283481549952725</v>
      </c>
      <c r="F51" s="10">
        <f t="shared" ref="F51:G51" si="52">+F41/F47</f>
        <v>5.5081617703645227</v>
      </c>
      <c r="G51" s="10">
        <f t="shared" si="52"/>
        <v>5.7034198113207548</v>
      </c>
      <c r="H51" s="10">
        <f t="shared" ref="H51:I51" si="53">+H41/H47</f>
        <v>5.6023580909347643</v>
      </c>
      <c r="I51" s="10">
        <f t="shared" si="53"/>
        <v>5.5321855683301466</v>
      </c>
      <c r="J51" s="10">
        <f t="shared" ref="J51:K51" si="54">+J41/J47</f>
        <v>5.5962236583309917</v>
      </c>
      <c r="K51" s="10">
        <f t="shared" si="54"/>
        <v>5.8672102076257051</v>
      </c>
      <c r="L51" s="10">
        <f t="shared" ref="L51:U51" si="55">+L41/L47</f>
        <v>5.8854658240346378</v>
      </c>
      <c r="M51" s="10">
        <f t="shared" si="55"/>
        <v>6.0336243129647587</v>
      </c>
      <c r="N51" s="10">
        <f t="shared" si="55"/>
        <v>6.3156518490847962</v>
      </c>
      <c r="O51" s="10">
        <f t="shared" si="55"/>
        <v>5.8822732850916166</v>
      </c>
      <c r="P51" s="10">
        <f t="shared" si="55"/>
        <v>4.5570243298198054</v>
      </c>
      <c r="Q51" s="10">
        <f t="shared" si="55"/>
        <v>4.0094031053882153</v>
      </c>
      <c r="R51" s="10">
        <f t="shared" si="55"/>
        <v>6.0184986176008985</v>
      </c>
      <c r="S51" s="10">
        <f t="shared" si="55"/>
        <v>5.7883028047487368</v>
      </c>
      <c r="T51" s="10">
        <f t="shared" si="55"/>
        <v>3.4809903336115671</v>
      </c>
      <c r="U51" s="10">
        <f t="shared" si="55"/>
        <v>5.4789268005714789</v>
      </c>
    </row>
    <row r="52" spans="1:24" s="10" customFormat="1" x14ac:dyDescent="0.2">
      <c r="A52" s="10" t="s">
        <v>4</v>
      </c>
      <c r="B52" s="10">
        <f t="shared" ref="B52:C52" si="56">+(B41-B44)/B47</f>
        <v>4.0787339804361196</v>
      </c>
      <c r="C52" s="10">
        <f t="shared" si="56"/>
        <v>4.1787770502718917</v>
      </c>
      <c r="D52" s="10">
        <f t="shared" ref="D52:E52" si="57">+(D41-D44)/D47</f>
        <v>4.7721546261090015</v>
      </c>
      <c r="E52" s="10">
        <f t="shared" si="57"/>
        <v>4.5771842029770822</v>
      </c>
      <c r="F52" s="10">
        <f t="shared" ref="F52:G52" si="58">+(F41-F44)/F47</f>
        <v>5.1706917339094707</v>
      </c>
      <c r="G52" s="10">
        <f t="shared" si="58"/>
        <v>5.5173938679245289</v>
      </c>
      <c r="H52" s="10">
        <f t="shared" ref="H52:I52" si="59">+(H41-H44)/H47</f>
        <v>5.3850691894944926</v>
      </c>
      <c r="I52" s="10">
        <f t="shared" si="59"/>
        <v>5.3084187060090668</v>
      </c>
      <c r="J52" s="10">
        <f t="shared" ref="J52:K52" si="60">+(J41-J44)/J47</f>
        <v>5.3952711435796576</v>
      </c>
      <c r="K52" s="10">
        <f t="shared" si="60"/>
        <v>5.6926318755532153</v>
      </c>
      <c r="L52" s="10">
        <f t="shared" ref="L52:U52" si="61">+(L41-L44)/L47</f>
        <v>5.7420558627012674</v>
      </c>
      <c r="M52" s="10">
        <f t="shared" si="61"/>
        <v>5.9236728095699966</v>
      </c>
      <c r="N52" s="10">
        <f t="shared" si="61"/>
        <v>6.1842498476299079</v>
      </c>
      <c r="O52" s="10">
        <f t="shared" si="61"/>
        <v>5.7816518253867502</v>
      </c>
      <c r="P52" s="10">
        <f t="shared" si="61"/>
        <v>4.3900974595087296</v>
      </c>
      <c r="Q52" s="10">
        <f t="shared" si="61"/>
        <v>3.6592809241041091</v>
      </c>
      <c r="R52" s="10">
        <f t="shared" si="61"/>
        <v>5.5902854055466156</v>
      </c>
      <c r="S52" s="10">
        <f t="shared" si="61"/>
        <v>5.4056556163964116</v>
      </c>
      <c r="T52" s="10">
        <f t="shared" si="61"/>
        <v>3.1325695360672063</v>
      </c>
      <c r="U52" s="10">
        <f t="shared" si="61"/>
        <v>5.4789268005714789</v>
      </c>
    </row>
    <row r="53" spans="1:24" s="6" customFormat="1" x14ac:dyDescent="0.2">
      <c r="A53" s="6" t="s">
        <v>3</v>
      </c>
      <c r="B53" s="6">
        <f t="shared" ref="B53:C53" si="62">+B48/B41</f>
        <v>9.3187267817895408E-2</v>
      </c>
      <c r="C53" s="6">
        <f t="shared" si="62"/>
        <v>9.2793255512321648E-2</v>
      </c>
      <c r="D53" s="6">
        <f t="shared" ref="D53:E53" si="63">+D48/D41</f>
        <v>8.1878046251166639E-2</v>
      </c>
      <c r="E53" s="6">
        <f t="shared" si="63"/>
        <v>5.8918526959134E-2</v>
      </c>
      <c r="F53" s="6">
        <f t="shared" ref="F53:G53" si="64">+F48/F41</f>
        <v>1.744786545924968E-2</v>
      </c>
      <c r="G53" s="6">
        <f t="shared" si="64"/>
        <v>1.0242427375167994E-2</v>
      </c>
      <c r="H53" s="6">
        <f t="shared" ref="H53:I53" si="65">+H48/H41</f>
        <v>2.7517964305787644E-2</v>
      </c>
      <c r="I53" s="6">
        <f t="shared" si="65"/>
        <v>3.5458630926478295E-2</v>
      </c>
      <c r="J53" s="6">
        <f t="shared" ref="J53:K53" si="66">+J48/J41</f>
        <v>2.7831054538443617E-2</v>
      </c>
      <c r="K53" s="6">
        <f t="shared" si="66"/>
        <v>2.0453631926500144E-2</v>
      </c>
      <c r="L53" s="6">
        <f t="shared" ref="L53:U53" si="67">+L48/L41</f>
        <v>7.6227978497155858E-3</v>
      </c>
      <c r="M53" s="6">
        <f t="shared" si="67"/>
        <v>-7.3643768084878422E-2</v>
      </c>
      <c r="N53" s="6">
        <f t="shared" si="67"/>
        <v>-7.423012787187705E-2</v>
      </c>
      <c r="O53" s="6">
        <f t="shared" si="67"/>
        <v>-5.6785107931118156E-2</v>
      </c>
      <c r="P53" s="6">
        <f t="shared" si="67"/>
        <v>-6.1739735174739789E-2</v>
      </c>
      <c r="Q53" s="6">
        <f t="shared" si="67"/>
        <v>4.8324210526315796E-2</v>
      </c>
      <c r="R53" s="6">
        <f t="shared" si="67"/>
        <v>1.3845295332211127E-2</v>
      </c>
      <c r="S53" s="6">
        <f t="shared" si="67"/>
        <v>-3.3385579937304098E-3</v>
      </c>
      <c r="T53" s="6">
        <f t="shared" si="67"/>
        <v>-2.4691603584011961E-3</v>
      </c>
      <c r="U53" s="6">
        <f t="shared" si="67"/>
        <v>-3.4790208672866134E-2</v>
      </c>
    </row>
    <row r="54" spans="1:24" s="6" customFormat="1" x14ac:dyDescent="0.2">
      <c r="A54" s="8" t="s">
        <v>2</v>
      </c>
      <c r="B54" s="9"/>
      <c r="C54" s="9"/>
      <c r="D54" s="9"/>
      <c r="E54" s="9"/>
      <c r="F54" s="9"/>
      <c r="G54" s="9"/>
      <c r="H54" s="9"/>
      <c r="I54" s="9"/>
      <c r="J54" s="9"/>
      <c r="K54" s="9"/>
      <c r="L54" s="9"/>
      <c r="M54" s="9"/>
      <c r="N54" s="9"/>
      <c r="O54" s="9"/>
      <c r="P54" s="9"/>
      <c r="Q54" s="9"/>
      <c r="R54" s="9"/>
      <c r="S54" s="9"/>
      <c r="T54" s="9"/>
      <c r="U54" s="9"/>
      <c r="V54" s="8"/>
      <c r="W54" s="8"/>
      <c r="X54" s="8"/>
    </row>
    <row r="55" spans="1:24" s="6" customFormat="1" x14ac:dyDescent="0.2">
      <c r="A55" s="6" t="s">
        <v>1</v>
      </c>
      <c r="B55" s="7">
        <f t="shared" ref="B55:C55" si="68">IF(B42=0,IF(B54="","","*"&amp;TEXT(B54,"0.0x")),(B41+B42-B44)/B47)</f>
        <v>6.5846494933837221</v>
      </c>
      <c r="C55" s="7">
        <f t="shared" si="68"/>
        <v>6.6868227721673543</v>
      </c>
      <c r="D55" s="7">
        <f t="shared" ref="D55:E55" si="69">IF(D42=0,IF(D54="","","*"&amp;TEXT(D54,"0.0x")),(D41+D42-D44)/D47)</f>
        <v>7.6365399239543761</v>
      </c>
      <c r="E55" s="7">
        <f t="shared" si="69"/>
        <v>7.5787035561363814</v>
      </c>
      <c r="F55" s="7">
        <f t="shared" ref="F55:G55" si="70">IF(F42=0,IF(F54="","","*"&amp;TEXT(F54,"0.0x")),(F41+F42-F44)/F47)</f>
        <v>8.3915056022209384</v>
      </c>
      <c r="G55" s="7">
        <f t="shared" si="70"/>
        <v>8.8487617924528301</v>
      </c>
      <c r="H55" s="7">
        <f t="shared" ref="H55:I55" si="71">IF(H42=0,IF(H54="","","*"&amp;TEXT(H54,"0.0x")),(H41+H42-H44)/H47)</f>
        <v>8.5762581191753746</v>
      </c>
      <c r="I55" s="7">
        <f t="shared" si="71"/>
        <v>8.4533616099881144</v>
      </c>
      <c r="J55" s="7">
        <f t="shared" ref="J55:K55" si="72">IF(J42=0,IF(J54="","","*"&amp;TEXT(J54,"0.0x")),(J41+J42-J44)/J47)</f>
        <v>8.5703203146951381</v>
      </c>
      <c r="K55" s="7">
        <f t="shared" si="72"/>
        <v>9.153570739446435</v>
      </c>
      <c r="L55" s="7">
        <f t="shared" ref="L55:U55" si="73">IF(L42=0,IF(L54="","","*"&amp;TEXT(L54,"0.0x")),(L41+L42-L44)/L47)</f>
        <v>9.207027453000574</v>
      </c>
      <c r="M55" s="7">
        <f t="shared" si="73"/>
        <v>9.5770837374717104</v>
      </c>
      <c r="N55" s="7">
        <f t="shared" si="73"/>
        <v>9.8870069271048369</v>
      </c>
      <c r="O55" s="7">
        <f t="shared" si="73"/>
        <v>9.1972620710084207</v>
      </c>
      <c r="P55" s="7">
        <f t="shared" si="73"/>
        <v>7.0310865449786162</v>
      </c>
      <c r="Q55" s="7">
        <f t="shared" si="73"/>
        <v>6.043820665729732</v>
      </c>
      <c r="R55" s="7">
        <f t="shared" si="73"/>
        <v>7.8266647667337557</v>
      </c>
      <c r="S55" s="7">
        <f t="shared" si="73"/>
        <v>7.5414909642824055</v>
      </c>
      <c r="T55" s="7">
        <f t="shared" si="73"/>
        <v>5.3058721482615496</v>
      </c>
      <c r="U55" s="7">
        <f t="shared" si="73"/>
        <v>7.4573843740370362</v>
      </c>
      <c r="V55" s="7" t="str">
        <f>IF(V42=0,IF(V54="","",CONCATENATE("* ",V54,"x")),(V41+V42-V44)/V47)</f>
        <v/>
      </c>
      <c r="W55" s="7" t="str">
        <f>IF(W42=0,IF(W54="","",CONCATENATE("* ",W54,"x")),(W41+W42-W44)/W47)</f>
        <v/>
      </c>
      <c r="X55" s="7" t="str">
        <f>IF(X42=0,IF(X54="","",CONCATENATE("* ",X54,"x")),(X41+X42-X44)/X47)</f>
        <v/>
      </c>
    </row>
    <row r="56" spans="1:24" x14ac:dyDescent="0.2">
      <c r="U56" s="3"/>
    </row>
    <row r="57" spans="1:24" ht="80.25" customHeight="1" x14ac:dyDescent="0.2">
      <c r="A57" s="5" t="s">
        <v>0</v>
      </c>
      <c r="B57" s="4" t="s">
        <v>104</v>
      </c>
      <c r="C57" s="4" t="s">
        <v>104</v>
      </c>
      <c r="D57" s="4" t="s">
        <v>104</v>
      </c>
      <c r="E57" s="4" t="s">
        <v>104</v>
      </c>
      <c r="F57" s="4" t="s">
        <v>367</v>
      </c>
      <c r="G57" s="4" t="s">
        <v>367</v>
      </c>
      <c r="H57" s="4" t="s">
        <v>367</v>
      </c>
      <c r="I57" s="4" t="s">
        <v>235</v>
      </c>
      <c r="J57" s="4" t="s">
        <v>235</v>
      </c>
      <c r="K57" s="4" t="s">
        <v>235</v>
      </c>
      <c r="L57" s="4" t="s">
        <v>231</v>
      </c>
      <c r="M57" s="4"/>
      <c r="N57" s="4"/>
      <c r="O57" s="4"/>
      <c r="P57" s="4"/>
      <c r="Q57" s="4" t="s">
        <v>190</v>
      </c>
      <c r="R57" s="4"/>
      <c r="S57" s="4"/>
      <c r="T57" s="4"/>
      <c r="U57" s="4"/>
      <c r="V57" s="4"/>
      <c r="W57" s="4"/>
      <c r="X57" s="4"/>
    </row>
    <row r="58" spans="1:24" x14ac:dyDescent="0.2">
      <c r="A58" s="2"/>
      <c r="B58" s="3"/>
      <c r="C58" s="3"/>
      <c r="D58" s="3"/>
      <c r="E58" s="3"/>
      <c r="F58" s="3"/>
      <c r="G58" s="3"/>
      <c r="H58" s="3"/>
      <c r="I58" s="3"/>
      <c r="J58" s="3"/>
      <c r="K58" s="3"/>
      <c r="L58" s="3"/>
      <c r="M58" s="3"/>
      <c r="N58" s="3"/>
      <c r="O58" s="3"/>
      <c r="P58" s="3"/>
      <c r="Q58" s="3"/>
    </row>
    <row r="59" spans="1:24" x14ac:dyDescent="0.2">
      <c r="A59" s="2"/>
    </row>
  </sheetData>
  <pageMargins left="0.7" right="0.7" top="0.75" bottom="0.75" header="0.3" footer="0.3"/>
  <pageSetup orientation="portrait" r:id="rId1"/>
  <ignoredErrors>
    <ignoredError sqref="M46:T47 C46:D47 B46:B47" formulaRange="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P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6" width="10.7109375" style="1" customWidth="1"/>
    <col min="17" max="16384" width="9.140625" style="1"/>
  </cols>
  <sheetData>
    <row r="2" spans="1:16" x14ac:dyDescent="0.2">
      <c r="A2" s="34" t="s">
        <v>45</v>
      </c>
      <c r="B2" s="1" t="s">
        <v>87</v>
      </c>
    </row>
    <row r="3" spans="1:16" s="35" customFormat="1" x14ac:dyDescent="0.2">
      <c r="A3" s="36" t="s">
        <v>43</v>
      </c>
      <c r="B3" s="35" t="s">
        <v>119</v>
      </c>
    </row>
    <row r="4" spans="1:16" x14ac:dyDescent="0.2">
      <c r="A4" s="34" t="s">
        <v>41</v>
      </c>
      <c r="B4" s="1" t="s">
        <v>40</v>
      </c>
    </row>
    <row r="5" spans="1:16" x14ac:dyDescent="0.2">
      <c r="A5" s="34" t="s">
        <v>39</v>
      </c>
    </row>
    <row r="6" spans="1:16" x14ac:dyDescent="0.2">
      <c r="A6" s="34" t="s">
        <v>38</v>
      </c>
      <c r="B6" s="1">
        <v>3</v>
      </c>
    </row>
    <row r="7" spans="1:16" x14ac:dyDescent="0.2">
      <c r="A7" s="34" t="s">
        <v>37</v>
      </c>
      <c r="B7" s="1" t="e">
        <v>#N/A</v>
      </c>
    </row>
    <row r="8" spans="1:16" x14ac:dyDescent="0.2">
      <c r="A8" s="34" t="s">
        <v>281</v>
      </c>
      <c r="B8" s="1" t="e">
        <v>#N/A</v>
      </c>
    </row>
    <row r="9" spans="1:16" x14ac:dyDescent="0.2">
      <c r="A9" s="22"/>
    </row>
    <row r="10" spans="1:16" x14ac:dyDescent="0.2">
      <c r="A10" s="22" t="s">
        <v>36</v>
      </c>
      <c r="B10" s="33">
        <v>43368</v>
      </c>
      <c r="C10" s="33">
        <v>43281</v>
      </c>
      <c r="D10" s="33">
        <v>43190</v>
      </c>
      <c r="E10" s="33">
        <v>43100</v>
      </c>
      <c r="F10" s="33">
        <v>43004</v>
      </c>
      <c r="G10" s="33">
        <v>42916</v>
      </c>
      <c r="H10" s="33">
        <v>42825</v>
      </c>
      <c r="I10" s="33">
        <v>42735</v>
      </c>
      <c r="J10" s="33">
        <v>42825</v>
      </c>
      <c r="K10" s="33">
        <v>42735</v>
      </c>
      <c r="L10" s="33">
        <v>42643</v>
      </c>
      <c r="M10" s="33">
        <v>42551</v>
      </c>
      <c r="N10" s="33">
        <v>42460</v>
      </c>
      <c r="O10" s="33">
        <v>42369</v>
      </c>
      <c r="P10" s="33">
        <v>42277</v>
      </c>
    </row>
    <row r="12" spans="1:16" x14ac:dyDescent="0.2">
      <c r="A12" s="15" t="s">
        <v>35</v>
      </c>
      <c r="B12" s="19">
        <v>381.02</v>
      </c>
      <c r="C12" s="19">
        <v>394.00299999999999</v>
      </c>
      <c r="D12" s="19">
        <f>140.833+240.299</f>
        <v>381.13200000000001</v>
      </c>
      <c r="E12" s="19"/>
      <c r="F12" s="19">
        <v>369.553</v>
      </c>
      <c r="G12" s="19">
        <v>338.25200000000001</v>
      </c>
      <c r="H12" s="19">
        <v>307.23200000000003</v>
      </c>
      <c r="I12" s="19">
        <v>308.40099999999995</v>
      </c>
      <c r="J12" s="19">
        <v>305.08000000000004</v>
      </c>
      <c r="K12" s="19">
        <v>303.98500000000001</v>
      </c>
      <c r="L12" s="19">
        <v>319.53399999999999</v>
      </c>
      <c r="M12" s="19">
        <v>306.90399999999988</v>
      </c>
      <c r="N12" s="19">
        <v>300.65200000000004</v>
      </c>
      <c r="O12" s="19">
        <v>306.23599999999999</v>
      </c>
      <c r="P12" s="19">
        <v>309.20800000000003</v>
      </c>
    </row>
    <row r="13" spans="1:16" s="28" customFormat="1" x14ac:dyDescent="0.2">
      <c r="A13" s="28" t="s">
        <v>34</v>
      </c>
      <c r="B13" s="28">
        <f t="shared" ref="B13" si="0">+B12/F12-1</f>
        <v>3.1029378735932367E-2</v>
      </c>
      <c r="C13" s="28">
        <f>+C12/G12-1</f>
        <v>0.16482090275888983</v>
      </c>
      <c r="D13" s="28">
        <f>+D12/H12-1</f>
        <v>0.24053484012082071</v>
      </c>
      <c r="F13" s="28">
        <f t="shared" ref="F13:L13" si="1">+F12/J12-1</f>
        <v>0.21133145404484055</v>
      </c>
      <c r="G13" s="28">
        <f t="shared" si="1"/>
        <v>0.11272595687287201</v>
      </c>
      <c r="H13" s="28">
        <f t="shared" si="1"/>
        <v>-3.8499815356112244E-2</v>
      </c>
      <c r="I13" s="28">
        <f t="shared" si="1"/>
        <v>4.8777467872691549E-3</v>
      </c>
      <c r="J13" s="28">
        <f t="shared" si="1"/>
        <v>1.4727991165866205E-2</v>
      </c>
      <c r="K13" s="28">
        <f t="shared" si="1"/>
        <v>-7.350540106323189E-3</v>
      </c>
      <c r="L13" s="28">
        <f t="shared" si="1"/>
        <v>3.3394996248479858E-2</v>
      </c>
    </row>
    <row r="14" spans="1:16" s="23" customFormat="1" x14ac:dyDescent="0.2">
      <c r="A14" s="31" t="s">
        <v>33</v>
      </c>
      <c r="B14" s="32" t="s">
        <v>32</v>
      </c>
      <c r="C14" s="32" t="s">
        <v>32</v>
      </c>
      <c r="D14" s="32" t="s">
        <v>32</v>
      </c>
      <c r="E14" s="32"/>
      <c r="F14" s="32"/>
      <c r="G14" s="32" t="s">
        <v>32</v>
      </c>
      <c r="H14" s="32" t="s">
        <v>32</v>
      </c>
      <c r="I14" s="32" t="s">
        <v>32</v>
      </c>
      <c r="J14" s="32" t="s">
        <v>32</v>
      </c>
      <c r="K14" s="32" t="s">
        <v>32</v>
      </c>
      <c r="L14" s="32" t="s">
        <v>32</v>
      </c>
      <c r="M14" s="31"/>
      <c r="N14" s="31"/>
      <c r="O14" s="31"/>
      <c r="P14" s="31"/>
    </row>
    <row r="16" spans="1:16" s="22" customFormat="1" x14ac:dyDescent="0.2">
      <c r="A16" s="30" t="s">
        <v>31</v>
      </c>
      <c r="B16" s="29">
        <v>19.399999999999999</v>
      </c>
      <c r="C16" s="29">
        <v>30.8</v>
      </c>
      <c r="D16" s="29">
        <v>31.1</v>
      </c>
      <c r="E16" s="29">
        <v>37.799999999999997</v>
      </c>
      <c r="F16" s="29">
        <v>27.9</v>
      </c>
      <c r="G16" s="29">
        <v>33.299999999999997</v>
      </c>
      <c r="H16" s="29">
        <f>130.1-E16-F16-G16</f>
        <v>31.100000000000009</v>
      </c>
      <c r="I16" s="29">
        <v>35.770000000000003</v>
      </c>
      <c r="J16" s="29">
        <v>24.714999999999982</v>
      </c>
      <c r="K16" s="29">
        <v>32.122</v>
      </c>
      <c r="L16" s="29">
        <v>35.023999999999994</v>
      </c>
      <c r="M16" s="29">
        <v>31.272999999999733</v>
      </c>
      <c r="N16" s="29">
        <v>21.988000000000071</v>
      </c>
      <c r="O16" s="29">
        <v>29.495999999999942</v>
      </c>
      <c r="P16" s="29">
        <v>32.276000000000018</v>
      </c>
    </row>
    <row r="17" spans="1:16" s="28" customFormat="1" x14ac:dyDescent="0.2">
      <c r="A17" s="28" t="s">
        <v>30</v>
      </c>
      <c r="B17" s="28">
        <f t="shared" ref="B17:P17" si="2">+B16/B12</f>
        <v>5.091596241667104E-2</v>
      </c>
      <c r="C17" s="28">
        <f t="shared" si="2"/>
        <v>7.8171993614261831E-2</v>
      </c>
      <c r="D17" s="28">
        <f t="shared" si="2"/>
        <v>8.1599026059213084E-2</v>
      </c>
      <c r="F17" s="28">
        <f t="shared" si="2"/>
        <v>7.5496613476280797E-2</v>
      </c>
      <c r="G17" s="28">
        <f t="shared" si="2"/>
        <v>9.8447311471920332E-2</v>
      </c>
      <c r="H17" s="28">
        <f t="shared" si="2"/>
        <v>0.1012264347463806</v>
      </c>
      <c r="I17" s="28">
        <f t="shared" si="2"/>
        <v>0.11598535672711829</v>
      </c>
      <c r="J17" s="28">
        <f t="shared" si="2"/>
        <v>8.1011537957257046E-2</v>
      </c>
      <c r="K17" s="28">
        <f t="shared" si="2"/>
        <v>0.10566968764906162</v>
      </c>
      <c r="L17" s="28">
        <f t="shared" si="2"/>
        <v>0.10960961900767992</v>
      </c>
      <c r="M17" s="28">
        <f t="shared" si="2"/>
        <v>0.10189831347913271</v>
      </c>
      <c r="N17" s="28">
        <f t="shared" si="2"/>
        <v>7.3134387930231859E-2</v>
      </c>
      <c r="O17" s="28">
        <f t="shared" si="2"/>
        <v>9.6317872490497336E-2</v>
      </c>
      <c r="P17" s="28">
        <f t="shared" si="2"/>
        <v>0.10438281027657763</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row>
    <row r="20" spans="1:16"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row>
    <row r="21" spans="1:16"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row>
    <row r="22" spans="1:16" s="22" customFormat="1" x14ac:dyDescent="0.2">
      <c r="A22" s="22" t="s">
        <v>23</v>
      </c>
      <c r="B22" s="20">
        <f t="shared" ref="B22:P22" si="3">SUM(B16,B19:B21)</f>
        <v>19.399999999999999</v>
      </c>
      <c r="C22" s="20">
        <f t="shared" si="3"/>
        <v>30.8</v>
      </c>
      <c r="D22" s="20">
        <f t="shared" si="3"/>
        <v>31.1</v>
      </c>
      <c r="E22" s="20">
        <f t="shared" si="3"/>
        <v>37.799999999999997</v>
      </c>
      <c r="F22" s="20">
        <f t="shared" si="3"/>
        <v>27.9</v>
      </c>
      <c r="G22" s="20">
        <f t="shared" si="3"/>
        <v>33.299999999999997</v>
      </c>
      <c r="H22" s="20">
        <f t="shared" si="3"/>
        <v>31.100000000000009</v>
      </c>
      <c r="I22" s="20">
        <f t="shared" si="3"/>
        <v>35.770000000000003</v>
      </c>
      <c r="J22" s="20">
        <f t="shared" si="3"/>
        <v>24.714999999999982</v>
      </c>
      <c r="K22" s="20">
        <f t="shared" si="3"/>
        <v>32.122</v>
      </c>
      <c r="L22" s="20">
        <f t="shared" si="3"/>
        <v>35.023999999999994</v>
      </c>
      <c r="M22" s="20">
        <f t="shared" si="3"/>
        <v>31.272999999999733</v>
      </c>
      <c r="N22" s="20">
        <f t="shared" si="3"/>
        <v>21.988000000000071</v>
      </c>
      <c r="O22" s="20">
        <f t="shared" si="3"/>
        <v>29.495999999999942</v>
      </c>
      <c r="P22" s="20">
        <f t="shared" si="3"/>
        <v>32.276000000000018</v>
      </c>
    </row>
    <row r="23" spans="1:16" s="22" customFormat="1" x14ac:dyDescent="0.2">
      <c r="B23" s="28"/>
      <c r="C23" s="20"/>
      <c r="D23" s="20"/>
      <c r="E23" s="20"/>
      <c r="F23" s="20"/>
      <c r="G23" s="20"/>
      <c r="H23" s="20"/>
      <c r="I23" s="20"/>
      <c r="J23" s="20"/>
      <c r="K23" s="20"/>
      <c r="L23" s="20"/>
      <c r="M23" s="20"/>
      <c r="N23" s="20"/>
      <c r="O23" s="20"/>
      <c r="P23" s="20"/>
    </row>
    <row r="24" spans="1:16" s="22" customFormat="1" x14ac:dyDescent="0.2">
      <c r="A24" s="22" t="s">
        <v>27</v>
      </c>
      <c r="B24" s="20">
        <f t="shared" ref="B24:H24" si="4">SUM(B22:E22)</f>
        <v>119.10000000000001</v>
      </c>
      <c r="C24" s="20">
        <f t="shared" si="4"/>
        <v>127.6</v>
      </c>
      <c r="D24" s="20">
        <f t="shared" si="4"/>
        <v>130.10000000000002</v>
      </c>
      <c r="E24" s="20">
        <f t="shared" si="4"/>
        <v>130.1</v>
      </c>
      <c r="F24" s="20">
        <f t="shared" si="4"/>
        <v>128.07000000000002</v>
      </c>
      <c r="G24" s="20">
        <f t="shared" si="4"/>
        <v>124.88499999999999</v>
      </c>
      <c r="H24" s="20">
        <f t="shared" si="4"/>
        <v>123.70699999999998</v>
      </c>
      <c r="I24" s="20">
        <f>SUM(I22:L22)</f>
        <v>127.63099999999997</v>
      </c>
      <c r="J24" s="20">
        <f>SUM(J22:M22)</f>
        <v>123.1339999999997</v>
      </c>
      <c r="K24" s="20">
        <f>SUM(K22:N22)</f>
        <v>120.4069999999998</v>
      </c>
      <c r="L24" s="20">
        <f>SUM(L22:O22)</f>
        <v>117.78099999999974</v>
      </c>
      <c r="M24" s="20">
        <f>SUM(M22:P22)</f>
        <v>115.03299999999976</v>
      </c>
      <c r="N24" s="20"/>
      <c r="O24" s="20"/>
      <c r="P24" s="20"/>
    </row>
    <row r="25" spans="1:16" s="23" customFormat="1" x14ac:dyDescent="0.2">
      <c r="A25" s="15" t="s">
        <v>26</v>
      </c>
      <c r="B25" s="27">
        <v>12.9</v>
      </c>
      <c r="C25" s="27">
        <v>11.5</v>
      </c>
      <c r="D25" s="27">
        <v>8.6999999999999993</v>
      </c>
      <c r="E25" s="27">
        <v>9.5429999999999993</v>
      </c>
      <c r="F25" s="27">
        <v>0</v>
      </c>
      <c r="G25" s="27">
        <v>0</v>
      </c>
      <c r="H25" s="27">
        <v>0</v>
      </c>
      <c r="I25" s="27">
        <v>0</v>
      </c>
      <c r="J25" s="27">
        <v>0</v>
      </c>
      <c r="K25" s="27">
        <v>0</v>
      </c>
      <c r="L25" s="27">
        <v>0</v>
      </c>
      <c r="M25" s="27">
        <v>0</v>
      </c>
      <c r="N25" s="27">
        <v>0</v>
      </c>
      <c r="O25" s="27">
        <v>0</v>
      </c>
      <c r="P25" s="27">
        <v>0</v>
      </c>
    </row>
    <row r="26" spans="1:16" s="23" customFormat="1" x14ac:dyDescent="0.2">
      <c r="A26" s="15" t="s">
        <v>25</v>
      </c>
      <c r="B26" s="21">
        <f>3.6+0.6+1.5</f>
        <v>5.7</v>
      </c>
      <c r="C26" s="21">
        <f>2.2+0.6+2.6</f>
        <v>5.4</v>
      </c>
      <c r="D26" s="21">
        <f>1.4+0.6+7.5</f>
        <v>9.5</v>
      </c>
      <c r="E26" s="21">
        <f>1.005+0.549+17.332</f>
        <v>18.885999999999999</v>
      </c>
      <c r="F26" s="21">
        <v>0</v>
      </c>
      <c r="G26" s="21">
        <v>0</v>
      </c>
      <c r="H26" s="21">
        <v>0</v>
      </c>
      <c r="I26" s="21">
        <v>0</v>
      </c>
      <c r="J26" s="21">
        <v>0</v>
      </c>
      <c r="K26" s="21">
        <v>0</v>
      </c>
      <c r="L26" s="21">
        <v>0</v>
      </c>
      <c r="M26" s="21">
        <v>0</v>
      </c>
      <c r="N26" s="26"/>
      <c r="O26" s="26"/>
      <c r="P26" s="26"/>
    </row>
    <row r="27" spans="1:16" s="24" customFormat="1" x14ac:dyDescent="0.2">
      <c r="A27" s="22" t="s">
        <v>24</v>
      </c>
      <c r="B27" s="20">
        <f t="shared" ref="B27:H27" si="5">SUM(B24:B26)</f>
        <v>137.69999999999999</v>
      </c>
      <c r="C27" s="20">
        <f t="shared" si="5"/>
        <v>144.5</v>
      </c>
      <c r="D27" s="20">
        <f t="shared" si="5"/>
        <v>148.30000000000001</v>
      </c>
      <c r="E27" s="20">
        <f t="shared" si="5"/>
        <v>158.529</v>
      </c>
      <c r="F27" s="20">
        <f t="shared" si="5"/>
        <v>128.07000000000002</v>
      </c>
      <c r="G27" s="20">
        <f t="shared" si="5"/>
        <v>124.88499999999999</v>
      </c>
      <c r="H27" s="20">
        <f t="shared" si="5"/>
        <v>123.70699999999998</v>
      </c>
      <c r="I27" s="20">
        <f>SUM(I24:I26)</f>
        <v>127.63099999999997</v>
      </c>
      <c r="J27" s="20">
        <f>SUM(J24:J26)</f>
        <v>123.1339999999997</v>
      </c>
      <c r="K27" s="20">
        <f>SUM(K24:K26)</f>
        <v>120.4069999999998</v>
      </c>
      <c r="L27" s="20">
        <f>SUM(L24:L26)</f>
        <v>117.78099999999974</v>
      </c>
      <c r="M27" s="20">
        <f>SUM(M24:M26)</f>
        <v>115.03299999999976</v>
      </c>
      <c r="N27" s="25"/>
      <c r="O27" s="25"/>
      <c r="P27" s="25"/>
    </row>
    <row r="28" spans="1:16" s="23" customFormat="1" x14ac:dyDescent="0.2"/>
    <row r="29" spans="1:16" s="22" customFormat="1" x14ac:dyDescent="0.2">
      <c r="A29" s="22" t="s">
        <v>23</v>
      </c>
      <c r="B29" s="20">
        <f t="shared" ref="B29:P29" si="6">B22</f>
        <v>19.399999999999999</v>
      </c>
      <c r="C29" s="20">
        <f t="shared" si="6"/>
        <v>30.8</v>
      </c>
      <c r="D29" s="20">
        <f t="shared" si="6"/>
        <v>31.1</v>
      </c>
      <c r="E29" s="20">
        <f t="shared" si="6"/>
        <v>37.799999999999997</v>
      </c>
      <c r="F29" s="20">
        <f t="shared" si="6"/>
        <v>27.9</v>
      </c>
      <c r="G29" s="20">
        <f t="shared" si="6"/>
        <v>33.299999999999997</v>
      </c>
      <c r="H29" s="20">
        <f t="shared" si="6"/>
        <v>31.100000000000009</v>
      </c>
      <c r="I29" s="20">
        <f t="shared" si="6"/>
        <v>35.770000000000003</v>
      </c>
      <c r="J29" s="20">
        <f t="shared" si="6"/>
        <v>24.714999999999982</v>
      </c>
      <c r="K29" s="20">
        <f t="shared" si="6"/>
        <v>32.122</v>
      </c>
      <c r="L29" s="20">
        <f t="shared" si="6"/>
        <v>35.023999999999994</v>
      </c>
      <c r="M29" s="20">
        <f t="shared" si="6"/>
        <v>31.272999999999733</v>
      </c>
      <c r="N29" s="20">
        <f t="shared" si="6"/>
        <v>21.988000000000071</v>
      </c>
      <c r="O29" s="20">
        <f t="shared" si="6"/>
        <v>29.495999999999942</v>
      </c>
      <c r="P29" s="20">
        <f t="shared" si="6"/>
        <v>32.276000000000018</v>
      </c>
    </row>
    <row r="30" spans="1:16" s="11" customFormat="1" x14ac:dyDescent="0.2">
      <c r="A30" s="19" t="s">
        <v>22</v>
      </c>
      <c r="B30" s="19">
        <f>-34.274-0.352-C30-D30</f>
        <v>-13.827999999999996</v>
      </c>
      <c r="C30" s="19">
        <f>-20.446-0.352-D30</f>
        <v>-15.792000000000002</v>
      </c>
      <c r="D30" s="19">
        <f>-4.654-0.352</f>
        <v>-5.0060000000000002</v>
      </c>
      <c r="E30" s="19"/>
      <c r="F30" s="19">
        <f>-45.741-G30-H30</f>
        <v>-12.335000000000001</v>
      </c>
      <c r="G30" s="19">
        <f>-33.406-H30</f>
        <v>-18.286999999999999</v>
      </c>
      <c r="H30" s="19">
        <v>-15.119</v>
      </c>
      <c r="I30" s="19">
        <v>-11.106999999999999</v>
      </c>
      <c r="J30" s="19">
        <v>-11.173999999999999</v>
      </c>
      <c r="K30" s="19">
        <v>-11.205</v>
      </c>
      <c r="L30" s="19">
        <v>-11.337</v>
      </c>
      <c r="M30" s="19">
        <v>-10.586999999999996</v>
      </c>
      <c r="N30" s="19">
        <v>-10.24</v>
      </c>
      <c r="O30" s="19">
        <v>-10.492000000000001</v>
      </c>
      <c r="P30" s="19">
        <v>-10.465</v>
      </c>
    </row>
    <row r="31" spans="1:16" s="11" customFormat="1" x14ac:dyDescent="0.2">
      <c r="A31" s="19" t="s">
        <v>21</v>
      </c>
      <c r="B31" s="19">
        <f>1.52-C31-D31</f>
        <v>1.133</v>
      </c>
      <c r="C31" s="19">
        <f>0.387-D31</f>
        <v>0.252</v>
      </c>
      <c r="D31" s="19">
        <v>0.13500000000000001</v>
      </c>
      <c r="E31" s="19"/>
      <c r="F31" s="19">
        <f>-1.388-G31-H31</f>
        <v>-0.72699999999999987</v>
      </c>
      <c r="G31" s="19">
        <f>-0.661-H31</f>
        <v>-0.82400000000000007</v>
      </c>
      <c r="H31" s="19">
        <v>0.16300000000000001</v>
      </c>
      <c r="I31" s="19">
        <f>-0.349-0.839</f>
        <v>-1.1879999999999999</v>
      </c>
      <c r="J31" s="19">
        <f>2.137-1.084</f>
        <v>1.0529999999999999</v>
      </c>
      <c r="K31" s="19">
        <f>-0.274-0.561</f>
        <v>-0.83500000000000008</v>
      </c>
      <c r="L31" s="19">
        <f>1.229-3.072</f>
        <v>-1.843</v>
      </c>
      <c r="M31" s="19">
        <f>1.901-2.43</f>
        <v>-0.52900000000000014</v>
      </c>
      <c r="N31" s="19">
        <f>3.401+2.112</f>
        <v>5.5129999999999999</v>
      </c>
      <c r="O31" s="19">
        <f>1.213-4.989</f>
        <v>-3.7759999999999998</v>
      </c>
      <c r="P31" s="19">
        <f>-0.747-2.614</f>
        <v>-3.3609999999999998</v>
      </c>
    </row>
    <row r="32" spans="1:16" s="11" customFormat="1" x14ac:dyDescent="0.2">
      <c r="A32" s="19" t="s">
        <v>20</v>
      </c>
      <c r="B32" s="19">
        <f>1.086-0.054+2.96-0.439+1.757-0.432-31.557+7.123+3.036+0.823-0.251+3.31-0.669-1.85-0.502+0.432+4.052+31.557-2.712+1.083+0.091+0.014-C32-D32</f>
        <v>-1.5799999999999947</v>
      </c>
      <c r="C32" s="19">
        <f>0.688+0.152+0.761+1.95+0.691-0.305-31.557+9.717+1.702+0.884-0.285+3.31-0.669-1.85-0.502+1.36+4.052+31.557-2.406+1.083+0.091+0.014-D32</f>
        <v>-1.1230000000000047</v>
      </c>
      <c r="D32" s="19">
        <f>-0.546+0.018+2.324-0.769-0.09+2.61-30.557+13.034+0.444+0.246+0.031+3.31-0.669-1.85-0.502+0.136+4.052+31.557-2.406+1.083+0.091+0.014</f>
        <v>21.561000000000003</v>
      </c>
      <c r="E32" s="19"/>
      <c r="F32" s="19">
        <f>4.064-0.03+3.911+4.448-0.215-11.623+14.527+4.893+1.189-0.574-G32-H32</f>
        <v>4.2709999999999964</v>
      </c>
      <c r="G32" s="19">
        <f>3.467-0.044+3.013+5.419+1.272-10.951+10.502+3.838+0.343-0.54-H32</f>
        <v>11.024000000000004</v>
      </c>
      <c r="H32" s="19">
        <f>5.012+0.197-0.109-2.257+0.806-4.962+5.462+1.681-0.455-0.08</f>
        <v>5.294999999999999</v>
      </c>
      <c r="I32" s="19">
        <v>-14.156999999999998</v>
      </c>
      <c r="J32" s="19">
        <v>2.0780000000000003</v>
      </c>
      <c r="K32" s="19">
        <v>2.9169999999999998</v>
      </c>
      <c r="L32" s="19">
        <v>5.8820000000000006</v>
      </c>
      <c r="M32" s="19">
        <v>-4.2969999999999988</v>
      </c>
      <c r="N32" s="19">
        <v>-1.0770000000000017</v>
      </c>
      <c r="O32" s="19">
        <v>5.6210000000000013</v>
      </c>
      <c r="P32" s="19">
        <v>5.18</v>
      </c>
    </row>
    <row r="33" spans="1:16"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row>
    <row r="34" spans="1:16"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row>
    <row r="35" spans="1:16" s="20" customFormat="1" x14ac:dyDescent="0.2">
      <c r="A35" s="20" t="s">
        <v>17</v>
      </c>
      <c r="B35" s="20">
        <f>13.22+10.772-C35-D35</f>
        <v>3.458000000000002</v>
      </c>
      <c r="C35" s="20">
        <f>9.762+10.772-D35</f>
        <v>11.522999999999998</v>
      </c>
      <c r="D35" s="20">
        <f>-1.761+10.772</f>
        <v>9.011000000000001</v>
      </c>
      <c r="F35" s="20">
        <f>65.786-G35-H35</f>
        <v>17.310000000000002</v>
      </c>
      <c r="G35" s="20">
        <f>48.476-H35</f>
        <v>24.082999999999998</v>
      </c>
      <c r="H35" s="20">
        <v>24.393000000000001</v>
      </c>
      <c r="I35" s="20">
        <v>10.245000000000005</v>
      </c>
      <c r="J35" s="20">
        <v>17.007999999999996</v>
      </c>
      <c r="K35" s="20">
        <v>23.735000000000003</v>
      </c>
      <c r="L35" s="20">
        <v>28.608000000000001</v>
      </c>
      <c r="M35" s="20">
        <v>16.633999999999993</v>
      </c>
      <c r="N35" s="20">
        <v>14.221000000000004</v>
      </c>
      <c r="O35" s="20">
        <v>24.599</v>
      </c>
      <c r="P35" s="20">
        <v>24.45</v>
      </c>
    </row>
    <row r="36" spans="1:16" s="11" customFormat="1" x14ac:dyDescent="0.2">
      <c r="A36" s="19" t="s">
        <v>16</v>
      </c>
      <c r="B36" s="21">
        <f>-58.691-6.853-C36-D36</f>
        <v>-26.911999999999999</v>
      </c>
      <c r="C36" s="21">
        <f>-31.779-6.853-D36</f>
        <v>-19.951000000000001</v>
      </c>
      <c r="D36" s="21">
        <f>-11.828-6.853</f>
        <v>-18.680999999999997</v>
      </c>
      <c r="E36" s="21"/>
      <c r="F36" s="21">
        <f>-59.289-G36-H36</f>
        <v>-24.831</v>
      </c>
      <c r="G36" s="21">
        <f>-34.458-H36</f>
        <v>-17.770999999999997</v>
      </c>
      <c r="H36" s="21">
        <v>-16.687000000000001</v>
      </c>
      <c r="I36" s="21">
        <v>-17.286999999999992</v>
      </c>
      <c r="J36" s="21">
        <v>-19.920000000000002</v>
      </c>
      <c r="K36" s="21">
        <v>-14.42</v>
      </c>
      <c r="L36" s="21">
        <v>-10.973000000000001</v>
      </c>
      <c r="M36" s="21">
        <v>-14.202999999999996</v>
      </c>
      <c r="N36" s="21">
        <v>-15.530999999999999</v>
      </c>
      <c r="O36" s="21">
        <v>-15.448</v>
      </c>
      <c r="P36" s="21">
        <v>-11.018000000000001</v>
      </c>
    </row>
    <row r="37" spans="1:16" s="20" customFormat="1" x14ac:dyDescent="0.2">
      <c r="A37" s="20" t="s">
        <v>15</v>
      </c>
      <c r="B37" s="20">
        <f t="shared" ref="B37:D37" si="7">+B35+B36</f>
        <v>-23.453999999999997</v>
      </c>
      <c r="C37" s="20">
        <f t="shared" si="7"/>
        <v>-8.4280000000000026</v>
      </c>
      <c r="D37" s="20">
        <f t="shared" si="7"/>
        <v>-9.6699999999999964</v>
      </c>
      <c r="F37" s="20">
        <f t="shared" ref="F37:P37" si="8">+F35+F36</f>
        <v>-7.5209999999999972</v>
      </c>
      <c r="G37" s="20">
        <f t="shared" si="8"/>
        <v>6.3120000000000012</v>
      </c>
      <c r="H37" s="20">
        <f t="shared" si="8"/>
        <v>7.7059999999999995</v>
      </c>
      <c r="I37" s="20">
        <f t="shared" si="8"/>
        <v>-7.0419999999999874</v>
      </c>
      <c r="J37" s="20">
        <f t="shared" si="8"/>
        <v>-2.9120000000000061</v>
      </c>
      <c r="K37" s="20">
        <f t="shared" si="8"/>
        <v>9.3150000000000031</v>
      </c>
      <c r="L37" s="20">
        <f t="shared" si="8"/>
        <v>17.634999999999998</v>
      </c>
      <c r="M37" s="20">
        <f t="shared" si="8"/>
        <v>2.4309999999999974</v>
      </c>
      <c r="N37" s="20">
        <f t="shared" si="8"/>
        <v>-1.3099999999999952</v>
      </c>
      <c r="O37" s="20">
        <f t="shared" si="8"/>
        <v>9.1509999999999998</v>
      </c>
      <c r="P37" s="20">
        <f t="shared" si="8"/>
        <v>13.431999999999999</v>
      </c>
    </row>
    <row r="39" spans="1:16" s="16" customFormat="1" x14ac:dyDescent="0.2">
      <c r="A39" s="18" t="s">
        <v>14</v>
      </c>
      <c r="B39" s="19">
        <v>5</v>
      </c>
      <c r="C39" s="19">
        <v>0</v>
      </c>
      <c r="D39" s="19">
        <v>20</v>
      </c>
      <c r="E39" s="19">
        <v>0</v>
      </c>
      <c r="F39" s="19"/>
      <c r="G39" s="19"/>
      <c r="H39" s="19"/>
      <c r="I39" s="19">
        <v>0</v>
      </c>
      <c r="J39" s="19">
        <v>0</v>
      </c>
      <c r="K39" s="19">
        <v>0</v>
      </c>
      <c r="L39" s="19">
        <v>0</v>
      </c>
      <c r="M39" s="19">
        <v>0</v>
      </c>
      <c r="N39" s="19"/>
      <c r="O39" s="19"/>
      <c r="P39" s="19"/>
    </row>
    <row r="40" spans="1:16" s="16" customFormat="1" x14ac:dyDescent="0.2">
      <c r="A40" s="18" t="s">
        <v>13</v>
      </c>
      <c r="B40" s="19">
        <f>599.1+5.861</f>
        <v>604.96100000000001</v>
      </c>
      <c r="C40" s="19">
        <f>600.65+5.908</f>
        <v>606.55799999999999</v>
      </c>
      <c r="D40" s="19">
        <f>577.1+5.911</f>
        <v>583.01099999999997</v>
      </c>
      <c r="E40" s="19">
        <f>577.1+6.047</f>
        <v>583.14700000000005</v>
      </c>
      <c r="F40" s="19"/>
      <c r="G40" s="19"/>
      <c r="H40" s="19"/>
      <c r="I40" s="19">
        <v>580</v>
      </c>
      <c r="J40" s="19">
        <v>396.93700000000001</v>
      </c>
      <c r="K40" s="19">
        <v>396.93599999999998</v>
      </c>
      <c r="L40" s="19">
        <v>400.22300000000001</v>
      </c>
      <c r="M40" s="19">
        <v>401.26299999999998</v>
      </c>
      <c r="N40" s="19"/>
      <c r="O40" s="19"/>
      <c r="P40" s="19"/>
    </row>
    <row r="41" spans="1:16" s="16" customFormat="1" x14ac:dyDescent="0.2">
      <c r="A41" s="18" t="s">
        <v>12</v>
      </c>
      <c r="B41" s="19">
        <f>B39+B40+160</f>
        <v>769.96100000000001</v>
      </c>
      <c r="C41" s="19">
        <f>C39+C40+160</f>
        <v>766.55799999999999</v>
      </c>
      <c r="D41" s="19">
        <f>D39+D40+160</f>
        <v>763.01099999999997</v>
      </c>
      <c r="E41" s="19">
        <v>737.1</v>
      </c>
      <c r="F41" s="19"/>
      <c r="G41" s="19"/>
      <c r="H41" s="19"/>
      <c r="I41" s="19">
        <f>I39+I40+160</f>
        <v>740</v>
      </c>
      <c r="J41" s="19">
        <f>J39+J40+190</f>
        <v>586.93700000000001</v>
      </c>
      <c r="K41" s="19">
        <f>+K39+K40+190</f>
        <v>586.93599999999992</v>
      </c>
      <c r="L41" s="19">
        <f>L39+L40+190</f>
        <v>590.22299999999996</v>
      </c>
      <c r="M41" s="19">
        <f>M39+M40+190</f>
        <v>591.26299999999992</v>
      </c>
      <c r="N41" s="19"/>
      <c r="O41" s="19"/>
      <c r="P41" s="19"/>
    </row>
    <row r="42" spans="1:16" s="16" customFormat="1" x14ac:dyDescent="0.2">
      <c r="A42" s="18" t="s">
        <v>11</v>
      </c>
      <c r="B42" s="17">
        <v>0</v>
      </c>
      <c r="C42" s="17">
        <v>0</v>
      </c>
      <c r="D42" s="17">
        <v>0</v>
      </c>
      <c r="E42" s="17">
        <v>0</v>
      </c>
      <c r="F42" s="17"/>
      <c r="G42" s="17"/>
      <c r="H42" s="17"/>
      <c r="I42" s="17">
        <v>0</v>
      </c>
      <c r="J42" s="17">
        <v>0</v>
      </c>
      <c r="K42" s="17">
        <v>0</v>
      </c>
      <c r="L42" s="17">
        <v>0</v>
      </c>
      <c r="M42" s="17">
        <v>0</v>
      </c>
      <c r="N42" s="17"/>
      <c r="O42" s="17"/>
      <c r="P42" s="17"/>
    </row>
    <row r="43" spans="1:16" x14ac:dyDescent="0.2">
      <c r="B43" s="16"/>
      <c r="C43" s="16"/>
      <c r="D43" s="16"/>
      <c r="E43" s="16"/>
      <c r="F43" s="16"/>
      <c r="G43" s="16"/>
      <c r="H43" s="16"/>
      <c r="I43" s="16"/>
      <c r="J43" s="16"/>
      <c r="K43" s="16"/>
    </row>
    <row r="44" spans="1:16" x14ac:dyDescent="0.2">
      <c r="A44" s="15" t="s">
        <v>10</v>
      </c>
      <c r="B44" s="14">
        <v>4.6150000000000002</v>
      </c>
      <c r="C44" s="14">
        <v>25.64</v>
      </c>
      <c r="D44" s="14">
        <v>56.906999999999996</v>
      </c>
      <c r="E44" s="14">
        <v>39.372999999999998</v>
      </c>
      <c r="F44" s="14"/>
      <c r="G44" s="14"/>
      <c r="H44" s="14"/>
      <c r="I44" s="14">
        <v>13.670000000000005</v>
      </c>
      <c r="J44" s="14">
        <v>16.062999999999995</v>
      </c>
      <c r="K44" s="14">
        <v>55.49</v>
      </c>
      <c r="L44" s="14">
        <v>45.860999999999997</v>
      </c>
      <c r="M44" s="14">
        <v>32.726999999999997</v>
      </c>
      <c r="N44" s="14"/>
      <c r="O44" s="14"/>
      <c r="P44" s="14"/>
    </row>
    <row r="46" spans="1:16" x14ac:dyDescent="0.2">
      <c r="A46" s="1" t="s">
        <v>9</v>
      </c>
      <c r="B46" s="13">
        <f>C46+B12-F12</f>
        <v>1526.922</v>
      </c>
      <c r="C46" s="13">
        <f>D46+C12-G12</f>
        <v>1515.4550000000002</v>
      </c>
      <c r="D46" s="13">
        <f>E46+D12-H12</f>
        <v>1459.7040000000002</v>
      </c>
      <c r="E46" s="12">
        <v>1385.8040000000001</v>
      </c>
      <c r="F46" s="11"/>
      <c r="G46" s="11"/>
      <c r="H46" s="11"/>
      <c r="I46" s="11">
        <v>1517.3</v>
      </c>
      <c r="J46" s="11">
        <f>SUM(J12:M12)</f>
        <v>1235.5029999999999</v>
      </c>
      <c r="K46" s="11">
        <f>SUM(K12:N12)</f>
        <v>1231.0749999999998</v>
      </c>
      <c r="L46" s="11">
        <f>SUM(L12:O12)</f>
        <v>1233.326</v>
      </c>
      <c r="M46" s="11">
        <f>SUM(M12:P12)</f>
        <v>1223</v>
      </c>
    </row>
    <row r="47" spans="1:16" x14ac:dyDescent="0.2">
      <c r="A47" s="1" t="s">
        <v>8</v>
      </c>
      <c r="B47" s="13">
        <f>B27</f>
        <v>137.69999999999999</v>
      </c>
      <c r="C47" s="13">
        <f>C27</f>
        <v>144.5</v>
      </c>
      <c r="D47" s="13">
        <f>D27</f>
        <v>148.30000000000001</v>
      </c>
      <c r="E47" s="12">
        <v>130.1</v>
      </c>
      <c r="F47" s="11"/>
      <c r="G47" s="11"/>
      <c r="H47" s="11"/>
      <c r="I47" s="11">
        <v>166.20315278900566</v>
      </c>
      <c r="J47" s="11">
        <f>+J27</f>
        <v>123.1339999999997</v>
      </c>
      <c r="K47" s="11">
        <f>+K27</f>
        <v>120.4069999999998</v>
      </c>
      <c r="L47" s="11">
        <f>+L27</f>
        <v>117.78099999999974</v>
      </c>
      <c r="M47" s="11">
        <f>+M27</f>
        <v>115.03299999999976</v>
      </c>
    </row>
    <row r="48" spans="1:16" x14ac:dyDescent="0.2">
      <c r="A48" s="1" t="s">
        <v>7</v>
      </c>
      <c r="B48" s="13">
        <f>C48+B37-F37</f>
        <v>-57.502999999999986</v>
      </c>
      <c r="C48" s="13">
        <f>D48+C37-G37</f>
        <v>-41.569999999999993</v>
      </c>
      <c r="D48" s="13">
        <f>E48+D37-H37</f>
        <v>-26.829999999999988</v>
      </c>
      <c r="E48" s="12">
        <f>71.287-80.741</f>
        <v>-9.4539999999999935</v>
      </c>
      <c r="F48" s="11"/>
      <c r="G48" s="11"/>
      <c r="H48" s="11"/>
      <c r="I48" s="11">
        <v>41.503152789005654</v>
      </c>
      <c r="J48" s="11">
        <f>+SUM(J37:M37)</f>
        <v>26.468999999999994</v>
      </c>
      <c r="K48" s="11">
        <f>+SUM(K37:N37)</f>
        <v>28.071000000000005</v>
      </c>
      <c r="L48" s="11">
        <f>+SUM(L37:O37)</f>
        <v>27.907</v>
      </c>
      <c r="M48" s="11">
        <f>+SUM(M37:P37)</f>
        <v>23.704000000000001</v>
      </c>
    </row>
    <row r="50" spans="1:16" s="10" customFormat="1" x14ac:dyDescent="0.2">
      <c r="A50" s="10" t="s">
        <v>6</v>
      </c>
      <c r="B50" s="10">
        <f>+SUM(B39:B40)/B47</f>
        <v>4.4296368917937547</v>
      </c>
      <c r="C50" s="10">
        <f>+SUM(C39:C40)/C47</f>
        <v>4.1976332179930793</v>
      </c>
      <c r="D50" s="10">
        <f>+SUM(D39:D40)/D47</f>
        <v>4.066156439649359</v>
      </c>
      <c r="E50" s="10">
        <f>+SUM(E39:E40)/E47</f>
        <v>4.482298232129132</v>
      </c>
      <c r="I50" s="10">
        <f>+SUM(I39:I40)/I47</f>
        <v>3.4897051606253706</v>
      </c>
      <c r="J50" s="10">
        <f>+SUM(J39:J40)/J47</f>
        <v>3.2236181720727091</v>
      </c>
      <c r="K50" s="10">
        <f>+SUM(K39:K40)/K47</f>
        <v>3.2966189673357915</v>
      </c>
      <c r="L50" s="10">
        <f>+SUM(L39:L40)/L47</f>
        <v>3.3980268464353411</v>
      </c>
      <c r="M50" s="10">
        <f>+SUM(M39:M40)/M47</f>
        <v>3.4882425043248531</v>
      </c>
    </row>
    <row r="51" spans="1:16" s="10" customFormat="1" x14ac:dyDescent="0.2">
      <c r="A51" s="10" t="s">
        <v>5</v>
      </c>
      <c r="B51" s="10">
        <f>+B41/B47</f>
        <v>5.5915831517792309</v>
      </c>
      <c r="C51" s="10">
        <f>+C41/C47</f>
        <v>5.3048996539792386</v>
      </c>
      <c r="D51" s="10">
        <f>+D41/D47</f>
        <v>5.145050573162508</v>
      </c>
      <c r="E51" s="10">
        <f>+E41/E47</f>
        <v>5.6656418139892395</v>
      </c>
      <c r="I51" s="10">
        <f>+I41/I47</f>
        <v>4.452382446315128</v>
      </c>
      <c r="J51" s="10">
        <f>+J41/J47</f>
        <v>4.7666525898614633</v>
      </c>
      <c r="K51" s="10">
        <f>+K41/K47</f>
        <v>4.8746003139352441</v>
      </c>
      <c r="L51" s="10">
        <f>+L41/L47</f>
        <v>5.0111902598891271</v>
      </c>
      <c r="M51" s="10">
        <f>+M41/M47</f>
        <v>5.1399424512965943</v>
      </c>
    </row>
    <row r="52" spans="1:16" s="10" customFormat="1" x14ac:dyDescent="0.2">
      <c r="A52" s="10" t="s">
        <v>4</v>
      </c>
      <c r="B52" s="10">
        <f>+(B41-B44)/B47</f>
        <v>5.5580682643427748</v>
      </c>
      <c r="C52" s="10">
        <f>+(C41-C44)/C47</f>
        <v>5.1274602076124571</v>
      </c>
      <c r="D52" s="10">
        <f>+(D41-D44)/D47</f>
        <v>4.7613216453135525</v>
      </c>
      <c r="E52" s="10">
        <f>+(E41-E44)/E47</f>
        <v>5.3630053804765563</v>
      </c>
      <c r="I52" s="10">
        <f>+(I41-I44)/I47</f>
        <v>4.3701337057190095</v>
      </c>
      <c r="J52" s="10">
        <f>+(J41-J44)/J47</f>
        <v>4.6362012116880909</v>
      </c>
      <c r="K52" s="10">
        <f>+(K41-K44)/K47</f>
        <v>4.4137467090783824</v>
      </c>
      <c r="L52" s="10">
        <f>+(L41-L44)/L47</f>
        <v>4.6218150635501578</v>
      </c>
      <c r="M52" s="10">
        <f>+(M41-M44)/M47</f>
        <v>4.8554414820095202</v>
      </c>
    </row>
    <row r="53" spans="1:16" s="6" customFormat="1" x14ac:dyDescent="0.2">
      <c r="A53" s="6" t="s">
        <v>3</v>
      </c>
      <c r="B53" s="6">
        <f>+B48/B41</f>
        <v>-7.4683003424848765E-2</v>
      </c>
      <c r="C53" s="6">
        <f>+C48/C41</f>
        <v>-5.4229425562057919E-2</v>
      </c>
      <c r="D53" s="6">
        <f>+D48/D41</f>
        <v>-3.5163320056984748E-2</v>
      </c>
      <c r="E53" s="6">
        <f>+E48/E41</f>
        <v>-1.282593949260615E-2</v>
      </c>
      <c r="I53" s="6">
        <f>+I48/I41</f>
        <v>5.60853416067644E-2</v>
      </c>
      <c r="J53" s="6">
        <f>+J48/J41</f>
        <v>4.5096833220601179E-2</v>
      </c>
      <c r="K53" s="6">
        <f>+K48/K41</f>
        <v>4.7826338817179403E-2</v>
      </c>
      <c r="L53" s="6">
        <f>+L48/L41</f>
        <v>4.7282128958037899E-2</v>
      </c>
      <c r="M53" s="6">
        <f>+M48/M41</f>
        <v>4.0090450442527271E-2</v>
      </c>
    </row>
    <row r="54" spans="1:16" s="6" customFormat="1" x14ac:dyDescent="0.2">
      <c r="A54" s="8" t="s">
        <v>2</v>
      </c>
      <c r="B54" s="9">
        <v>7</v>
      </c>
      <c r="C54" s="9">
        <v>7</v>
      </c>
      <c r="D54" s="9">
        <v>7</v>
      </c>
      <c r="E54" s="9">
        <v>7</v>
      </c>
      <c r="F54" s="9"/>
      <c r="G54" s="9"/>
      <c r="H54" s="9"/>
      <c r="I54" s="9">
        <v>7</v>
      </c>
      <c r="J54" s="9">
        <v>7</v>
      </c>
      <c r="K54" s="9">
        <v>7</v>
      </c>
      <c r="L54" s="9">
        <v>7</v>
      </c>
      <c r="M54" s="9">
        <v>7</v>
      </c>
      <c r="N54" s="8"/>
      <c r="O54" s="8"/>
      <c r="P54" s="8"/>
    </row>
    <row r="55" spans="1:16" s="6" customFormat="1" x14ac:dyDescent="0.2">
      <c r="A55" s="6" t="s">
        <v>1</v>
      </c>
      <c r="B55" s="7" t="str">
        <f>IF(B42=0,IF(B54="","","*"&amp;TEXT(B54,"0.0x")),(B41+B42-B44)/B47)</f>
        <v>*7.0x</v>
      </c>
      <c r="C55" s="7" t="str">
        <f>IF(C42=0,IF(C54="","","*"&amp;TEXT(C54,"0.0x")),(C41+C42-C44)/C47)</f>
        <v>*7.0x</v>
      </c>
      <c r="D55" s="7" t="str">
        <f>IF(D42=0,IF(D54="","","*"&amp;TEXT(D54,"0.0x")),(D41+D42-D44)/D47)</f>
        <v>*7.0x</v>
      </c>
      <c r="E55" s="7" t="str">
        <f>IF(E42=0,IF(E54="","","*"&amp;TEXT(E54,"0.0x")),(E41+E42-E44)/E47)</f>
        <v>*7.0x</v>
      </c>
      <c r="F55" s="7"/>
      <c r="G55" s="7"/>
      <c r="H55" s="7"/>
      <c r="I55" s="7" t="str">
        <f>IF(I42=0,IF(I54="","","*"&amp;TEXT(I54,"0.0x")),(I41+I42-I44)/I47)</f>
        <v>*7.0x</v>
      </c>
      <c r="J55" s="7" t="str">
        <f>IF(J42=0,IF(J54="","","*"&amp;TEXT(J54,"0.0x")),(J41+J42-J44)/J47)</f>
        <v>*7.0x</v>
      </c>
      <c r="K55" s="7" t="str">
        <f>IF(K42=0,IF(K54="","","*"&amp;TEXT(K54,"0.0x")),(K41+K42-K44)/K47)</f>
        <v>*7.0x</v>
      </c>
      <c r="L55" s="7" t="str">
        <f>IF(L42=0,IF(L54="","","*"&amp;TEXT(L54,"0.0x")),(L41+L42-L44)/L47)</f>
        <v>*7.0x</v>
      </c>
      <c r="M55" s="7" t="str">
        <f>IF(M42=0,IF(M54="","","*"&amp;TEXT(M54,"0.0x")),(M41+M42-M44)/M47)</f>
        <v>*7.0x</v>
      </c>
      <c r="N55" s="7" t="str">
        <f>IF(N42=0,IF(N54="","",CONCATENATE("* ",N54,"x")),(N41+N42-N44)/N47)</f>
        <v/>
      </c>
      <c r="O55" s="7" t="str">
        <f>IF(O42=0,IF(O54="","",CONCATENATE("* ",O54,"x")),(O41+O42-O44)/O47)</f>
        <v/>
      </c>
      <c r="P55" s="7" t="str">
        <f>IF(P42=0,IF(P54="","",CONCATENATE("* ",P54,"x")),(P41+P42-P44)/P47)</f>
        <v/>
      </c>
    </row>
    <row r="56" spans="1:16" x14ac:dyDescent="0.2">
      <c r="M56" s="3"/>
    </row>
    <row r="57" spans="1:16" ht="80.25" customHeight="1" x14ac:dyDescent="0.2">
      <c r="A57" s="5" t="s">
        <v>0</v>
      </c>
      <c r="B57" s="4"/>
      <c r="C57" s="4"/>
      <c r="D57" s="4"/>
      <c r="E57" s="4"/>
      <c r="F57" s="4"/>
      <c r="G57" s="4"/>
      <c r="H57" s="4"/>
      <c r="I57" s="4" t="s">
        <v>118</v>
      </c>
      <c r="J57" s="4"/>
      <c r="K57" s="4"/>
      <c r="L57" s="4"/>
      <c r="M57" s="4"/>
      <c r="N57" s="4"/>
      <c r="O57" s="4"/>
      <c r="P57" s="4"/>
    </row>
    <row r="58" spans="1:16" x14ac:dyDescent="0.2">
      <c r="A58" s="2"/>
      <c r="B58" s="3"/>
      <c r="C58" s="3"/>
      <c r="D58" s="3"/>
      <c r="E58" s="3"/>
      <c r="F58" s="3"/>
      <c r="G58" s="3"/>
      <c r="H58" s="3"/>
      <c r="I58" s="3"/>
    </row>
    <row r="59" spans="1:16" x14ac:dyDescent="0.2">
      <c r="A59" s="2"/>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4" width="10.7109375" style="1" customWidth="1"/>
    <col min="25" max="16384" width="9.140625" style="1"/>
  </cols>
  <sheetData>
    <row r="2" spans="1:24" x14ac:dyDescent="0.2">
      <c r="A2" s="34" t="s">
        <v>45</v>
      </c>
      <c r="B2" s="1" t="s">
        <v>196</v>
      </c>
    </row>
    <row r="3" spans="1:24" s="35" customFormat="1" x14ac:dyDescent="0.2">
      <c r="A3" s="36" t="s">
        <v>43</v>
      </c>
      <c r="B3" s="35" t="s">
        <v>195</v>
      </c>
    </row>
    <row r="4" spans="1:24" x14ac:dyDescent="0.2">
      <c r="A4" s="34" t="s">
        <v>41</v>
      </c>
      <c r="B4" s="1" t="s">
        <v>40</v>
      </c>
    </row>
    <row r="5" spans="1:24" x14ac:dyDescent="0.2">
      <c r="A5" s="34" t="s">
        <v>39</v>
      </c>
    </row>
    <row r="6" spans="1:24" x14ac:dyDescent="0.2">
      <c r="A6" s="34" t="s">
        <v>38</v>
      </c>
      <c r="B6" s="1">
        <v>4</v>
      </c>
    </row>
    <row r="7" spans="1:24" x14ac:dyDescent="0.2">
      <c r="A7" s="34" t="s">
        <v>37</v>
      </c>
      <c r="B7" s="1" t="s">
        <v>380</v>
      </c>
    </row>
    <row r="8" spans="1:24" x14ac:dyDescent="0.2">
      <c r="A8" s="34" t="s">
        <v>281</v>
      </c>
      <c r="B8" s="1" t="s">
        <v>303</v>
      </c>
    </row>
    <row r="9" spans="1:24" x14ac:dyDescent="0.2">
      <c r="A9" s="22"/>
    </row>
    <row r="10" spans="1:24"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v>43008</v>
      </c>
      <c r="Q10" s="33">
        <v>42916</v>
      </c>
      <c r="R10" s="33">
        <v>42825</v>
      </c>
      <c r="S10" s="33">
        <v>42735</v>
      </c>
      <c r="T10" s="33">
        <v>42643</v>
      </c>
      <c r="U10" s="33">
        <v>42551</v>
      </c>
      <c r="V10" s="33">
        <v>42460</v>
      </c>
      <c r="W10" s="33">
        <v>42369</v>
      </c>
      <c r="X10" s="33">
        <v>42277</v>
      </c>
    </row>
    <row r="12" spans="1:24" x14ac:dyDescent="0.2">
      <c r="A12" s="15" t="s">
        <v>35</v>
      </c>
      <c r="B12" s="19"/>
      <c r="C12" s="19">
        <v>113.47100000000006</v>
      </c>
      <c r="D12" s="19">
        <v>126.875</v>
      </c>
      <c r="E12" s="19">
        <v>125.761</v>
      </c>
      <c r="F12" s="19">
        <v>118.70699999999999</v>
      </c>
      <c r="G12" s="19">
        <v>113.12200000000001</v>
      </c>
      <c r="H12" s="19">
        <v>126.16800000000001</v>
      </c>
      <c r="I12" s="19">
        <v>131.845</v>
      </c>
      <c r="J12" s="19">
        <v>122.355</v>
      </c>
      <c r="K12" s="19">
        <f>526.652-L12-M12-N12</f>
        <v>110.566</v>
      </c>
      <c r="L12" s="19">
        <v>140.59</v>
      </c>
      <c r="M12" s="19">
        <v>140.96100000000001</v>
      </c>
      <c r="N12" s="19">
        <v>134.535</v>
      </c>
      <c r="O12" s="19">
        <f>602.872-P12-Q12-R12</f>
        <v>131.58799999999988</v>
      </c>
      <c r="P12" s="19">
        <v>160.595</v>
      </c>
      <c r="Q12" s="19">
        <v>168.22900000000001</v>
      </c>
      <c r="R12" s="19">
        <v>142.46</v>
      </c>
      <c r="S12" s="19">
        <v>129.541</v>
      </c>
      <c r="T12" s="19">
        <v>172.80199999999999</v>
      </c>
      <c r="U12" s="19">
        <v>179.21100000000001</v>
      </c>
      <c r="V12" s="19">
        <v>146.21700000000001</v>
      </c>
      <c r="W12" s="19">
        <v>170.733</v>
      </c>
      <c r="X12" s="19">
        <v>216.45500000000001</v>
      </c>
    </row>
    <row r="13" spans="1:24" s="28" customFormat="1" x14ac:dyDescent="0.2">
      <c r="A13" s="28" t="s">
        <v>34</v>
      </c>
      <c r="C13" s="28">
        <f t="shared" ref="C13:T13" si="0">+C12/G12-1</f>
        <v>3.0851646894507478E-3</v>
      </c>
      <c r="D13" s="28">
        <f t="shared" si="0"/>
        <v>5.6036395916554405E-3</v>
      </c>
      <c r="E13" s="28">
        <f t="shared" si="0"/>
        <v>-4.6145094618681104E-2</v>
      </c>
      <c r="F13" s="28">
        <f t="shared" si="0"/>
        <v>-2.9814882922643227E-2</v>
      </c>
      <c r="G13" s="28">
        <f t="shared" si="0"/>
        <v>2.3117414033247297E-2</v>
      </c>
      <c r="H13" s="28">
        <f t="shared" si="0"/>
        <v>-0.10258197595846075</v>
      </c>
      <c r="I13" s="28">
        <f t="shared" si="0"/>
        <v>-6.4670369818602413E-2</v>
      </c>
      <c r="J13" s="28">
        <f t="shared" si="0"/>
        <v>-9.0534061768313023E-2</v>
      </c>
      <c r="K13" s="28">
        <f t="shared" si="0"/>
        <v>-0.15975620877283569</v>
      </c>
      <c r="L13" s="28">
        <f t="shared" si="0"/>
        <v>-0.12456801270276163</v>
      </c>
      <c r="M13" s="28">
        <f t="shared" si="0"/>
        <v>-0.16208858163574646</v>
      </c>
      <c r="N13" s="28">
        <f t="shared" si="0"/>
        <v>-5.5629650428190458E-2</v>
      </c>
      <c r="O13" s="28">
        <f t="shared" si="0"/>
        <v>1.5801946873961858E-2</v>
      </c>
      <c r="P13" s="28">
        <f t="shared" si="0"/>
        <v>-7.0641543500653881E-2</v>
      </c>
      <c r="Q13" s="28">
        <f t="shared" si="0"/>
        <v>-6.1279720552867789E-2</v>
      </c>
      <c r="R13" s="28">
        <f t="shared" si="0"/>
        <v>-2.5694686664341382E-2</v>
      </c>
      <c r="S13" s="28">
        <f t="shared" si="0"/>
        <v>-0.24126560184615753</v>
      </c>
      <c r="T13" s="28">
        <f t="shared" si="0"/>
        <v>-0.20167240303989287</v>
      </c>
    </row>
    <row r="14" spans="1:24" s="23" customFormat="1" x14ac:dyDescent="0.2">
      <c r="A14" s="31" t="s">
        <v>33</v>
      </c>
      <c r="B14" s="32"/>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1"/>
      <c r="V14" s="31"/>
      <c r="W14" s="31"/>
      <c r="X14" s="31"/>
    </row>
    <row r="16" spans="1:24" s="22" customFormat="1" x14ac:dyDescent="0.2">
      <c r="A16" s="30" t="s">
        <v>31</v>
      </c>
      <c r="B16" s="29"/>
      <c r="C16" s="29">
        <v>22.586000000000002</v>
      </c>
      <c r="D16" s="29">
        <v>23.503</v>
      </c>
      <c r="E16" s="29">
        <v>23.617000000000001</v>
      </c>
      <c r="F16" s="29">
        <v>17.094000000000001</v>
      </c>
      <c r="G16" s="29">
        <v>14.734999999999999</v>
      </c>
      <c r="H16" s="29">
        <v>20.376999999999999</v>
      </c>
      <c r="I16" s="29">
        <v>20.497</v>
      </c>
      <c r="J16" s="29">
        <v>14.855</v>
      </c>
      <c r="K16" s="29">
        <v>23.781000000000006</v>
      </c>
      <c r="L16" s="29">
        <v>23.689</v>
      </c>
      <c r="M16" s="29">
        <v>22.815999999999999</v>
      </c>
      <c r="N16" s="29">
        <v>15.51</v>
      </c>
      <c r="O16" s="29">
        <v>14.773</v>
      </c>
      <c r="P16" s="29">
        <v>20.992000000000001</v>
      </c>
      <c r="Q16" s="29">
        <v>26.225999999999999</v>
      </c>
      <c r="R16" s="29">
        <v>16.609000000000002</v>
      </c>
      <c r="S16" s="29">
        <v>14.305</v>
      </c>
      <c r="T16" s="29">
        <v>20.89</v>
      </c>
      <c r="U16" s="29">
        <v>21.783000000000001</v>
      </c>
      <c r="V16" s="29">
        <v>16.803999999999998</v>
      </c>
      <c r="W16" s="29">
        <v>28.087</v>
      </c>
      <c r="X16" s="29">
        <v>52.15</v>
      </c>
    </row>
    <row r="17" spans="1:24" s="28" customFormat="1" x14ac:dyDescent="0.2">
      <c r="A17" s="28" t="s">
        <v>30</v>
      </c>
      <c r="C17" s="28">
        <f t="shared" ref="C17:D17" si="1">+C16/C12</f>
        <v>0.1990464523975288</v>
      </c>
      <c r="D17" s="28">
        <f t="shared" si="1"/>
        <v>0.18524532019704434</v>
      </c>
      <c r="E17" s="28">
        <f t="shared" ref="E17:F17" si="2">+E16/E12</f>
        <v>0.18779271793322255</v>
      </c>
      <c r="F17" s="28">
        <f t="shared" si="2"/>
        <v>0.14400161742778439</v>
      </c>
      <c r="G17" s="28">
        <f t="shared" ref="G17" si="3">+G16/G12</f>
        <v>0.13025759799154893</v>
      </c>
      <c r="H17" s="28">
        <f t="shared" ref="H17:I17" si="4">+H16/H12</f>
        <v>0.1615068797159343</v>
      </c>
      <c r="I17" s="28">
        <f t="shared" si="4"/>
        <v>0.15546285410899163</v>
      </c>
      <c r="J17" s="28">
        <f t="shared" ref="J17:K17" si="5">+J16/J12</f>
        <v>0.12140901475215561</v>
      </c>
      <c r="K17" s="28">
        <f t="shared" si="5"/>
        <v>0.21508420310041065</v>
      </c>
      <c r="L17" s="28">
        <f t="shared" ref="L17:X17" si="6">+L16/L12</f>
        <v>0.16849704815420727</v>
      </c>
      <c r="M17" s="28">
        <f t="shared" si="6"/>
        <v>0.16186037272720821</v>
      </c>
      <c r="N17" s="28">
        <f t="shared" si="6"/>
        <v>0.1152859850596499</v>
      </c>
      <c r="O17" s="28">
        <f t="shared" si="6"/>
        <v>0.11226707602516957</v>
      </c>
      <c r="P17" s="28">
        <f t="shared" si="6"/>
        <v>0.1307139076559046</v>
      </c>
      <c r="Q17" s="28">
        <f t="shared" si="6"/>
        <v>0.15589464361079242</v>
      </c>
      <c r="R17" s="28">
        <f t="shared" si="6"/>
        <v>0.11658711217183772</v>
      </c>
      <c r="S17" s="28">
        <f t="shared" si="6"/>
        <v>0.11042835858917253</v>
      </c>
      <c r="T17" s="28">
        <f t="shared" si="6"/>
        <v>0.12088980451615144</v>
      </c>
      <c r="U17" s="28">
        <f t="shared" si="6"/>
        <v>0.12154945845958116</v>
      </c>
      <c r="V17" s="28">
        <f t="shared" si="6"/>
        <v>0.11492507711141657</v>
      </c>
      <c r="W17" s="28">
        <f t="shared" si="6"/>
        <v>0.16450832586553274</v>
      </c>
      <c r="X17" s="28">
        <f t="shared" si="6"/>
        <v>0.24092767549837146</v>
      </c>
    </row>
    <row r="18" spans="1:24" s="23" customFormat="1" x14ac:dyDescent="0.2"/>
    <row r="19" spans="1:24" s="23" customFormat="1" x14ac:dyDescent="0.2">
      <c r="A19" s="15" t="s">
        <v>29</v>
      </c>
      <c r="B19" s="19"/>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row>
    <row r="20" spans="1:24" s="23" customFormat="1" x14ac:dyDescent="0.2">
      <c r="A20" s="15" t="s">
        <v>28</v>
      </c>
      <c r="B20" s="19"/>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row>
    <row r="21" spans="1:24" s="23" customFormat="1" x14ac:dyDescent="0.2">
      <c r="A21" s="15" t="s">
        <v>18</v>
      </c>
      <c r="B21" s="19"/>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row>
    <row r="22" spans="1:24" s="22" customFormat="1" x14ac:dyDescent="0.2">
      <c r="A22" s="22" t="s">
        <v>23</v>
      </c>
      <c r="B22" s="20"/>
      <c r="C22" s="20">
        <f t="shared" ref="C22:D22" si="7">C16+C19+C20+C21</f>
        <v>22.586000000000002</v>
      </c>
      <c r="D22" s="20">
        <f t="shared" si="7"/>
        <v>23.503</v>
      </c>
      <c r="E22" s="20">
        <f t="shared" ref="E22:F22" si="8">E16+E19+E20+E21</f>
        <v>23.617000000000001</v>
      </c>
      <c r="F22" s="20">
        <f t="shared" si="8"/>
        <v>17.094000000000001</v>
      </c>
      <c r="G22" s="20">
        <f t="shared" ref="G22" si="9">G16+G19+G20+G21</f>
        <v>14.734999999999999</v>
      </c>
      <c r="H22" s="20">
        <f t="shared" ref="H22:I22" si="10">H16+H19+H20+H21</f>
        <v>20.376999999999999</v>
      </c>
      <c r="I22" s="20">
        <f t="shared" si="10"/>
        <v>20.497</v>
      </c>
      <c r="J22" s="20">
        <f t="shared" ref="J22:K22" si="11">J16+J19+J20+J21</f>
        <v>14.855</v>
      </c>
      <c r="K22" s="20">
        <f t="shared" si="11"/>
        <v>23.781000000000006</v>
      </c>
      <c r="L22" s="20">
        <f t="shared" ref="L22:X22" si="12">L16+L19+L20+L21</f>
        <v>23.689</v>
      </c>
      <c r="M22" s="20">
        <f t="shared" si="12"/>
        <v>22.815999999999999</v>
      </c>
      <c r="N22" s="20">
        <f t="shared" si="12"/>
        <v>15.51</v>
      </c>
      <c r="O22" s="20">
        <f t="shared" si="12"/>
        <v>14.773</v>
      </c>
      <c r="P22" s="20">
        <f t="shared" si="12"/>
        <v>20.992000000000001</v>
      </c>
      <c r="Q22" s="20">
        <f t="shared" si="12"/>
        <v>26.225999999999999</v>
      </c>
      <c r="R22" s="20">
        <f t="shared" si="12"/>
        <v>16.609000000000002</v>
      </c>
      <c r="S22" s="20">
        <f t="shared" si="12"/>
        <v>14.305</v>
      </c>
      <c r="T22" s="20">
        <f t="shared" si="12"/>
        <v>20.89</v>
      </c>
      <c r="U22" s="20">
        <f t="shared" si="12"/>
        <v>21.783000000000001</v>
      </c>
      <c r="V22" s="20">
        <f t="shared" si="12"/>
        <v>16.803999999999998</v>
      </c>
      <c r="W22" s="20">
        <f t="shared" si="12"/>
        <v>28.087</v>
      </c>
      <c r="X22" s="20">
        <f t="shared" si="12"/>
        <v>52.15</v>
      </c>
    </row>
    <row r="23" spans="1:24" s="22" customFormat="1" x14ac:dyDescent="0.2">
      <c r="B23" s="28"/>
      <c r="C23" s="28"/>
      <c r="D23" s="28"/>
      <c r="E23" s="28"/>
      <c r="F23" s="28"/>
      <c r="G23" s="28"/>
      <c r="H23" s="28"/>
      <c r="I23" s="28"/>
      <c r="J23" s="28"/>
      <c r="K23" s="28"/>
      <c r="L23" s="28"/>
      <c r="M23" s="28"/>
      <c r="N23" s="20"/>
      <c r="O23" s="20"/>
      <c r="P23" s="20"/>
      <c r="Q23" s="20"/>
      <c r="R23" s="20"/>
      <c r="S23" s="20"/>
      <c r="T23" s="20"/>
      <c r="U23" s="20"/>
      <c r="V23" s="20"/>
      <c r="W23" s="20"/>
      <c r="X23" s="20"/>
    </row>
    <row r="24" spans="1:24" s="22" customFormat="1" x14ac:dyDescent="0.2">
      <c r="A24" s="22" t="s">
        <v>27</v>
      </c>
      <c r="B24" s="20"/>
      <c r="C24" s="20">
        <f t="shared" ref="C24:U24" si="13">SUM(C22:F22)</f>
        <v>86.800000000000011</v>
      </c>
      <c r="D24" s="20">
        <f t="shared" si="13"/>
        <v>78.948999999999998</v>
      </c>
      <c r="E24" s="20">
        <f t="shared" si="13"/>
        <v>75.822999999999993</v>
      </c>
      <c r="F24" s="20">
        <f t="shared" si="13"/>
        <v>72.703000000000003</v>
      </c>
      <c r="G24" s="20">
        <f t="shared" si="13"/>
        <v>70.463999999999999</v>
      </c>
      <c r="H24" s="20">
        <f t="shared" si="13"/>
        <v>79.510000000000005</v>
      </c>
      <c r="I24" s="20">
        <f t="shared" si="13"/>
        <v>82.822000000000003</v>
      </c>
      <c r="J24" s="20">
        <f t="shared" si="13"/>
        <v>85.141000000000005</v>
      </c>
      <c r="K24" s="20">
        <f t="shared" si="13"/>
        <v>85.796000000000006</v>
      </c>
      <c r="L24" s="20">
        <f t="shared" si="13"/>
        <v>76.787999999999997</v>
      </c>
      <c r="M24" s="20">
        <f t="shared" si="13"/>
        <v>74.091000000000008</v>
      </c>
      <c r="N24" s="20">
        <f t="shared" si="13"/>
        <v>77.501000000000005</v>
      </c>
      <c r="O24" s="20">
        <f t="shared" si="13"/>
        <v>78.599999999999994</v>
      </c>
      <c r="P24" s="20">
        <f t="shared" si="13"/>
        <v>78.132000000000005</v>
      </c>
      <c r="Q24" s="20">
        <f t="shared" si="13"/>
        <v>78.03</v>
      </c>
      <c r="R24" s="20">
        <f t="shared" si="13"/>
        <v>73.587000000000003</v>
      </c>
      <c r="S24" s="20">
        <f t="shared" si="13"/>
        <v>73.781999999999996</v>
      </c>
      <c r="T24" s="20">
        <f t="shared" si="13"/>
        <v>87.564000000000007</v>
      </c>
      <c r="U24" s="20">
        <f t="shared" si="13"/>
        <v>118.82400000000001</v>
      </c>
      <c r="V24" s="20"/>
      <c r="W24" s="20"/>
      <c r="X24" s="20"/>
    </row>
    <row r="25" spans="1:24" s="23" customFormat="1" x14ac:dyDescent="0.2">
      <c r="A25" s="15" t="s">
        <v>26</v>
      </c>
      <c r="B25" s="27"/>
      <c r="C25" s="27">
        <v>0</v>
      </c>
      <c r="D25" s="27">
        <f>81.43-D24</f>
        <v>2.4810000000000088</v>
      </c>
      <c r="E25" s="27">
        <f>78.93-E24</f>
        <v>3.1070000000000135</v>
      </c>
      <c r="F25" s="27">
        <f>76.557-F24</f>
        <v>3.8539999999999992</v>
      </c>
      <c r="G25" s="27">
        <f>75.181-G24</f>
        <v>4.7169999999999987</v>
      </c>
      <c r="H25" s="27">
        <f>74.39-H24</f>
        <v>-5.1200000000000045</v>
      </c>
      <c r="I25" s="27">
        <f>80.697-I24</f>
        <v>-2.125</v>
      </c>
      <c r="J25" s="27">
        <f>84.842-J24</f>
        <v>-0.29900000000000659</v>
      </c>
      <c r="K25" s="27">
        <f>85.796-K24</f>
        <v>0</v>
      </c>
      <c r="L25" s="27">
        <f>81.859-L24</f>
        <v>5.070999999999998</v>
      </c>
      <c r="M25" s="27">
        <f>82.014-M24</f>
        <v>7.9229999999999876</v>
      </c>
      <c r="N25" s="27">
        <f>88.661-N24</f>
        <v>11.159999999999997</v>
      </c>
      <c r="O25" s="27">
        <f>92.761-O24</f>
        <v>14.161000000000001</v>
      </c>
      <c r="P25" s="27">
        <v>1.7</v>
      </c>
      <c r="Q25" s="27">
        <v>7.923</v>
      </c>
      <c r="R25" s="27">
        <v>14.706</v>
      </c>
      <c r="S25" s="27">
        <v>14.757</v>
      </c>
      <c r="T25" s="27">
        <v>15.33</v>
      </c>
      <c r="U25" s="27">
        <v>0</v>
      </c>
      <c r="V25" s="27"/>
      <c r="W25" s="27"/>
      <c r="X25" s="27"/>
    </row>
    <row r="26" spans="1:24" s="23" customFormat="1" x14ac:dyDescent="0.2">
      <c r="A26" s="15" t="s">
        <v>25</v>
      </c>
      <c r="B26" s="21"/>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6"/>
      <c r="W26" s="26"/>
      <c r="X26" s="26"/>
    </row>
    <row r="27" spans="1:24" s="24" customFormat="1" x14ac:dyDescent="0.2">
      <c r="A27" s="22" t="s">
        <v>24</v>
      </c>
      <c r="B27" s="20"/>
      <c r="C27" s="20">
        <f t="shared" ref="C27:E27" si="14">SUM(C24:C26)</f>
        <v>86.800000000000011</v>
      </c>
      <c r="D27" s="20">
        <f t="shared" si="14"/>
        <v>81.430000000000007</v>
      </c>
      <c r="E27" s="20">
        <f t="shared" si="14"/>
        <v>78.930000000000007</v>
      </c>
      <c r="F27" s="20">
        <f t="shared" ref="F27:H27" si="15">SUM(F24:F26)</f>
        <v>76.557000000000002</v>
      </c>
      <c r="G27" s="20">
        <f t="shared" si="15"/>
        <v>75.180999999999997</v>
      </c>
      <c r="H27" s="20">
        <f t="shared" si="15"/>
        <v>74.39</v>
      </c>
      <c r="I27" s="20">
        <f t="shared" ref="I27:M27" si="16">SUM(I24:I26)</f>
        <v>80.697000000000003</v>
      </c>
      <c r="J27" s="20">
        <f t="shared" si="16"/>
        <v>84.841999999999999</v>
      </c>
      <c r="K27" s="20">
        <f t="shared" si="16"/>
        <v>85.796000000000006</v>
      </c>
      <c r="L27" s="20">
        <f t="shared" si="16"/>
        <v>81.858999999999995</v>
      </c>
      <c r="M27" s="20">
        <f t="shared" si="16"/>
        <v>82.013999999999996</v>
      </c>
      <c r="N27" s="20">
        <f t="shared" ref="N27:U27" si="17">SUM(N24:N26)</f>
        <v>88.661000000000001</v>
      </c>
      <c r="O27" s="20">
        <f t="shared" si="17"/>
        <v>92.760999999999996</v>
      </c>
      <c r="P27" s="20">
        <f t="shared" si="17"/>
        <v>79.832000000000008</v>
      </c>
      <c r="Q27" s="20">
        <f t="shared" si="17"/>
        <v>85.953000000000003</v>
      </c>
      <c r="R27" s="20">
        <f t="shared" si="17"/>
        <v>88.293000000000006</v>
      </c>
      <c r="S27" s="20">
        <f t="shared" si="17"/>
        <v>88.539000000000001</v>
      </c>
      <c r="T27" s="20">
        <f t="shared" si="17"/>
        <v>102.89400000000001</v>
      </c>
      <c r="U27" s="20">
        <f t="shared" si="17"/>
        <v>118.82400000000001</v>
      </c>
      <c r="V27" s="25"/>
      <c r="W27" s="25"/>
      <c r="X27" s="25"/>
    </row>
    <row r="28" spans="1:24" s="23" customFormat="1" x14ac:dyDescent="0.2"/>
    <row r="29" spans="1:24" s="22" customFormat="1" x14ac:dyDescent="0.2">
      <c r="A29" s="22" t="s">
        <v>23</v>
      </c>
      <c r="B29" s="20"/>
      <c r="C29" s="20">
        <f t="shared" ref="C29:E29" si="18">C22</f>
        <v>22.586000000000002</v>
      </c>
      <c r="D29" s="20">
        <f t="shared" si="18"/>
        <v>23.503</v>
      </c>
      <c r="E29" s="20">
        <f t="shared" si="18"/>
        <v>23.617000000000001</v>
      </c>
      <c r="F29" s="20">
        <f t="shared" ref="F29:H29" si="19">F22</f>
        <v>17.094000000000001</v>
      </c>
      <c r="G29" s="20">
        <f t="shared" si="19"/>
        <v>14.734999999999999</v>
      </c>
      <c r="H29" s="20">
        <f t="shared" si="19"/>
        <v>20.376999999999999</v>
      </c>
      <c r="I29" s="20">
        <f t="shared" ref="I29:X29" si="20">I22</f>
        <v>20.497</v>
      </c>
      <c r="J29" s="20">
        <f t="shared" si="20"/>
        <v>14.855</v>
      </c>
      <c r="K29" s="20">
        <f t="shared" si="20"/>
        <v>23.781000000000006</v>
      </c>
      <c r="L29" s="20">
        <f t="shared" si="20"/>
        <v>23.689</v>
      </c>
      <c r="M29" s="20">
        <f t="shared" si="20"/>
        <v>22.815999999999999</v>
      </c>
      <c r="N29" s="20">
        <f t="shared" si="20"/>
        <v>15.51</v>
      </c>
      <c r="O29" s="20">
        <f t="shared" si="20"/>
        <v>14.773</v>
      </c>
      <c r="P29" s="20">
        <f t="shared" si="20"/>
        <v>20.992000000000001</v>
      </c>
      <c r="Q29" s="20">
        <f t="shared" si="20"/>
        <v>26.225999999999999</v>
      </c>
      <c r="R29" s="20">
        <f t="shared" si="20"/>
        <v>16.609000000000002</v>
      </c>
      <c r="S29" s="20">
        <f t="shared" si="20"/>
        <v>14.305</v>
      </c>
      <c r="T29" s="20">
        <f t="shared" si="20"/>
        <v>20.89</v>
      </c>
      <c r="U29" s="20">
        <f t="shared" si="20"/>
        <v>21.783000000000001</v>
      </c>
      <c r="V29" s="20">
        <f t="shared" si="20"/>
        <v>16.803999999999998</v>
      </c>
      <c r="W29" s="20">
        <f t="shared" si="20"/>
        <v>28.087</v>
      </c>
      <c r="X29" s="20">
        <f t="shared" si="20"/>
        <v>52.15</v>
      </c>
    </row>
    <row r="30" spans="1:24" s="11" customFormat="1" x14ac:dyDescent="0.2">
      <c r="A30" s="19" t="s">
        <v>22</v>
      </c>
      <c r="B30" s="19"/>
      <c r="C30" s="19">
        <v>-12.058</v>
      </c>
      <c r="D30" s="19">
        <v>-6.3070000000000004</v>
      </c>
      <c r="E30" s="19">
        <v>-7.7240000000000002</v>
      </c>
      <c r="F30" s="19">
        <v>-0.29499999999999998</v>
      </c>
      <c r="G30" s="19">
        <v>-4.5259999999999998</v>
      </c>
      <c r="H30" s="19">
        <v>-9.0510000000000002</v>
      </c>
      <c r="I30" s="19">
        <v>-8.0020000000000007</v>
      </c>
      <c r="J30" s="19">
        <v>-11.897</v>
      </c>
      <c r="K30" s="19">
        <v>-7.8119999999999976</v>
      </c>
      <c r="L30" s="19">
        <v>-7.7439999999999998</v>
      </c>
      <c r="M30" s="19">
        <v>-11.897</v>
      </c>
      <c r="N30" s="19">
        <v>-7.1020000000000003</v>
      </c>
      <c r="O30" s="19">
        <v>-6.8650000000000002</v>
      </c>
      <c r="P30" s="19">
        <v>-7.0270000000000001</v>
      </c>
      <c r="Q30" s="19">
        <v>-8.0009999999999994</v>
      </c>
      <c r="R30" s="19">
        <v>-7.5620000000000003</v>
      </c>
      <c r="S30" s="19">
        <v>-9.0020000000000007</v>
      </c>
      <c r="T30" s="19">
        <v>-7.81</v>
      </c>
      <c r="U30" s="19">
        <v>-14.528</v>
      </c>
      <c r="V30" s="19">
        <v>-9.6389999999999993</v>
      </c>
      <c r="W30" s="19">
        <v>-9.8770000000000007</v>
      </c>
      <c r="X30" s="19">
        <v>-10.112</v>
      </c>
    </row>
    <row r="31" spans="1:24" s="11" customFormat="1" x14ac:dyDescent="0.2">
      <c r="A31" s="19" t="s">
        <v>21</v>
      </c>
      <c r="B31" s="19"/>
      <c r="C31" s="19">
        <v>-0.51999999999999991</v>
      </c>
      <c r="D31" s="19">
        <v>-0.219</v>
      </c>
      <c r="E31" s="19">
        <v>-0.24099999999999999</v>
      </c>
      <c r="F31" s="19">
        <v>-0.20200000000000001</v>
      </c>
      <c r="G31" s="19">
        <v>-0.53600000000000003</v>
      </c>
      <c r="H31" s="19">
        <v>-0.23799999999999999</v>
      </c>
      <c r="I31" s="19">
        <v>-0.32100000000000001</v>
      </c>
      <c r="J31" s="19">
        <v>1.9E-2</v>
      </c>
      <c r="K31" s="19">
        <v>6.2999999999999945E-2</v>
      </c>
      <c r="L31" s="19">
        <v>-0.191</v>
      </c>
      <c r="M31" s="19">
        <v>1.9E-2</v>
      </c>
      <c r="N31" s="19">
        <v>-0.51600000000000001</v>
      </c>
      <c r="O31" s="19">
        <v>1.0469999999999997</v>
      </c>
      <c r="P31" s="19">
        <v>6.5280000000000005</v>
      </c>
      <c r="Q31" s="19">
        <v>-11.018999999999998</v>
      </c>
      <c r="R31" s="19">
        <v>3.9909999999999997</v>
      </c>
      <c r="S31" s="19">
        <v>10.898</v>
      </c>
      <c r="T31" s="19">
        <v>3.3409999999999997</v>
      </c>
      <c r="U31" s="19">
        <v>3.6130000000000004</v>
      </c>
      <c r="V31" s="19">
        <v>4.4879999999999995</v>
      </c>
      <c r="W31" s="19">
        <v>-5.6020000000000003</v>
      </c>
      <c r="X31" s="19">
        <v>-8.668000000000001</v>
      </c>
    </row>
    <row r="32" spans="1:24" s="11" customFormat="1" x14ac:dyDescent="0.2">
      <c r="A32" s="19" t="s">
        <v>20</v>
      </c>
      <c r="B32" s="19"/>
      <c r="C32" s="19">
        <v>15.640999999999996</v>
      </c>
      <c r="D32" s="19">
        <v>-21.567</v>
      </c>
      <c r="E32" s="19">
        <v>21.94</v>
      </c>
      <c r="F32" s="19">
        <v>-10.231</v>
      </c>
      <c r="G32" s="19">
        <v>5.22</v>
      </c>
      <c r="H32" s="19">
        <v>-1.4769999999999996</v>
      </c>
      <c r="I32" s="19">
        <f>3.289-0.652-0.202-0.296+0.009+0.648+0.303</f>
        <v>3.0990000000000002</v>
      </c>
      <c r="J32" s="19">
        <v>-10.802</v>
      </c>
      <c r="K32" s="19">
        <v>16.792999999999999</v>
      </c>
      <c r="L32" s="19">
        <v>-6.2010000000000005</v>
      </c>
      <c r="M32" s="19">
        <v>-10.802</v>
      </c>
      <c r="N32" s="19">
        <v>-6.0650000000000013</v>
      </c>
      <c r="O32" s="19">
        <v>-2.157</v>
      </c>
      <c r="P32" s="19">
        <v>-2.157</v>
      </c>
      <c r="Q32" s="19">
        <v>4.205000000000001</v>
      </c>
      <c r="R32" s="19">
        <v>-2.6550000000000002</v>
      </c>
      <c r="S32" s="19">
        <v>11.702999999999999</v>
      </c>
      <c r="T32" s="19">
        <v>-6.0670000000000002</v>
      </c>
      <c r="U32" s="19">
        <v>-1.3670000000000007</v>
      </c>
      <c r="V32" s="19">
        <v>-20.361000000000004</v>
      </c>
      <c r="W32" s="19">
        <v>10.571000000000002</v>
      </c>
      <c r="X32" s="19">
        <v>-2.8869999999999969</v>
      </c>
    </row>
    <row r="33" spans="1:24" s="11" customFormat="1" x14ac:dyDescent="0.2">
      <c r="A33" s="19" t="s">
        <v>19</v>
      </c>
      <c r="B33" s="19"/>
      <c r="C33" s="19">
        <v>0</v>
      </c>
      <c r="D33" s="19">
        <v>0</v>
      </c>
      <c r="E33" s="19">
        <v>0</v>
      </c>
      <c r="F33" s="19">
        <v>0</v>
      </c>
      <c r="G33" s="19">
        <v>0</v>
      </c>
      <c r="H33" s="19">
        <v>0</v>
      </c>
      <c r="I33" s="19">
        <v>0</v>
      </c>
      <c r="J33" s="19">
        <v>0</v>
      </c>
      <c r="K33" s="19">
        <v>0</v>
      </c>
      <c r="L33" s="19">
        <v>0</v>
      </c>
      <c r="M33" s="19">
        <v>0</v>
      </c>
      <c r="N33" s="19">
        <v>0</v>
      </c>
      <c r="O33" s="19">
        <v>0</v>
      </c>
      <c r="P33" s="19">
        <v>-4.4729999999999954</v>
      </c>
      <c r="Q33" s="19">
        <v>-0.84599999999999997</v>
      </c>
      <c r="R33" s="19">
        <v>-0.52200000000000002</v>
      </c>
      <c r="S33" s="19">
        <v>-23.600999999999999</v>
      </c>
      <c r="T33" s="19">
        <v>-0.623</v>
      </c>
      <c r="U33" s="19">
        <v>-0.84599999999999997</v>
      </c>
      <c r="V33" s="19">
        <v>-0.16</v>
      </c>
      <c r="W33" s="19">
        <v>-0.71299999999999997</v>
      </c>
      <c r="X33" s="19">
        <v>0</v>
      </c>
    </row>
    <row r="34" spans="1:24" s="11" customFormat="1" x14ac:dyDescent="0.2">
      <c r="A34" s="19" t="s">
        <v>18</v>
      </c>
      <c r="B34" s="21"/>
      <c r="C34" s="21">
        <f t="shared" ref="C34" si="21">C35-SUM(C29:C33)</f>
        <v>-34.962000000000003</v>
      </c>
      <c r="D34" s="21">
        <f t="shared" ref="D34:F34" si="22">D35-SUM(D29:D33)</f>
        <v>-6.8939999999999966</v>
      </c>
      <c r="E34" s="21">
        <f t="shared" si="22"/>
        <v>-2.3399999999999963</v>
      </c>
      <c r="F34" s="21">
        <f t="shared" si="22"/>
        <v>-16.596999999999998</v>
      </c>
      <c r="G34" s="21">
        <f t="shared" ref="G34" si="23">G35-SUM(G29:G33)</f>
        <v>-7.096000000000001</v>
      </c>
      <c r="H34" s="21">
        <f t="shared" ref="H34:M34" si="24">H35-SUM(H29:H33)</f>
        <v>-5.5959999999999992</v>
      </c>
      <c r="I34" s="21">
        <f t="shared" si="24"/>
        <v>-3.1790000000000003</v>
      </c>
      <c r="J34" s="21">
        <f t="shared" si="24"/>
        <v>1.9999999999999991</v>
      </c>
      <c r="K34" s="21">
        <f t="shared" si="24"/>
        <v>-18.048000000000002</v>
      </c>
      <c r="L34" s="21">
        <f t="shared" si="24"/>
        <v>-5.6569999999999991</v>
      </c>
      <c r="M34" s="21">
        <f t="shared" si="24"/>
        <v>0.30900000000000077</v>
      </c>
      <c r="N34" s="21">
        <f t="shared" ref="N34:X34" si="25">N35-SUM(N29:N33)</f>
        <v>-3.602999999999998</v>
      </c>
      <c r="O34" s="21">
        <f t="shared" si="25"/>
        <v>1.6900000000000013</v>
      </c>
      <c r="P34" s="21">
        <f t="shared" si="25"/>
        <v>-3.4850000000000065</v>
      </c>
      <c r="Q34" s="21">
        <f t="shared" si="25"/>
        <v>-2.1550000000000047</v>
      </c>
      <c r="R34" s="21">
        <f t="shared" si="25"/>
        <v>-0.38099999999999845</v>
      </c>
      <c r="S34" s="21">
        <f t="shared" si="25"/>
        <v>1.1409999999999991</v>
      </c>
      <c r="T34" s="21">
        <f t="shared" si="25"/>
        <v>-3.1950000000000038</v>
      </c>
      <c r="U34" s="21">
        <f t="shared" si="25"/>
        <v>-0.31300000000000061</v>
      </c>
      <c r="V34" s="21">
        <f t="shared" si="25"/>
        <v>0.37900000000000489</v>
      </c>
      <c r="W34" s="21">
        <f t="shared" si="25"/>
        <v>-25.762</v>
      </c>
      <c r="X34" s="21">
        <f t="shared" si="25"/>
        <v>-8.5429999999999993</v>
      </c>
    </row>
    <row r="35" spans="1:24" s="20" customFormat="1" x14ac:dyDescent="0.2">
      <c r="A35" s="20" t="s">
        <v>17</v>
      </c>
      <c r="C35" s="20">
        <v>-9.3130000000000006</v>
      </c>
      <c r="D35" s="20">
        <v>-11.484</v>
      </c>
      <c r="E35" s="20">
        <v>35.252000000000002</v>
      </c>
      <c r="F35" s="20">
        <v>-10.231</v>
      </c>
      <c r="G35" s="20">
        <v>7.7969999999999997</v>
      </c>
      <c r="H35" s="20">
        <v>4.0149999999999997</v>
      </c>
      <c r="I35" s="20">
        <v>12.093999999999999</v>
      </c>
      <c r="J35" s="20">
        <v>-5.8250000000000002</v>
      </c>
      <c r="K35" s="20">
        <v>14.776999999999999</v>
      </c>
      <c r="L35" s="20">
        <v>3.8959999999999999</v>
      </c>
      <c r="M35" s="20">
        <v>0.44500000000000001</v>
      </c>
      <c r="N35" s="20">
        <v>-1.776</v>
      </c>
      <c r="O35" s="20">
        <v>8.4879999999999995</v>
      </c>
      <c r="P35" s="20">
        <v>10.378</v>
      </c>
      <c r="Q35" s="20">
        <v>8.41</v>
      </c>
      <c r="R35" s="20">
        <v>9.48</v>
      </c>
      <c r="S35" s="20">
        <v>5.444</v>
      </c>
      <c r="T35" s="20">
        <v>6.5359999999999996</v>
      </c>
      <c r="U35" s="20">
        <v>8.3420000000000005</v>
      </c>
      <c r="V35" s="20">
        <v>-8.4890000000000008</v>
      </c>
      <c r="W35" s="20">
        <v>-3.2959999999999998</v>
      </c>
      <c r="X35" s="20">
        <v>21.94</v>
      </c>
    </row>
    <row r="36" spans="1:24" s="11" customFormat="1" x14ac:dyDescent="0.2">
      <c r="A36" s="19" t="s">
        <v>16</v>
      </c>
      <c r="B36" s="21"/>
      <c r="C36" s="21">
        <v>9.5449999999999999</v>
      </c>
      <c r="D36" s="21">
        <v>-0.29099999999999998</v>
      </c>
      <c r="E36" s="21">
        <v>-10.401</v>
      </c>
      <c r="F36" s="21">
        <v>-0.80800000000000005</v>
      </c>
      <c r="G36" s="21">
        <v>-0.66200000000000003</v>
      </c>
      <c r="H36" s="21">
        <v>-0.91</v>
      </c>
      <c r="I36" s="21">
        <v>-1.2050000000000001</v>
      </c>
      <c r="J36" s="21">
        <v>-0.85699999999999998</v>
      </c>
      <c r="K36" s="21">
        <v>-1.1559999999999997</v>
      </c>
      <c r="L36" s="21">
        <v>-0.73099999999999998</v>
      </c>
      <c r="M36" s="21">
        <v>-0.81499999999999995</v>
      </c>
      <c r="N36" s="21">
        <v>-1.302</v>
      </c>
      <c r="O36" s="21">
        <v>-0.76</v>
      </c>
      <c r="P36" s="21">
        <v>-0.76</v>
      </c>
      <c r="Q36" s="21">
        <v>-1.532</v>
      </c>
      <c r="R36" s="21">
        <v>-2.0409999999999999</v>
      </c>
      <c r="S36" s="21">
        <v>-1.927</v>
      </c>
      <c r="T36" s="21">
        <v>-1.71</v>
      </c>
      <c r="U36" s="21">
        <v>-1.9330000000000001</v>
      </c>
      <c r="V36" s="21">
        <v>-1.2589999999999999</v>
      </c>
      <c r="W36" s="21">
        <v>-0.89700000000000002</v>
      </c>
      <c r="X36" s="21">
        <v>-1.0980000000000001</v>
      </c>
    </row>
    <row r="37" spans="1:24" s="20" customFormat="1" x14ac:dyDescent="0.2">
      <c r="A37" s="20" t="s">
        <v>15</v>
      </c>
      <c r="C37" s="20">
        <f t="shared" ref="C37:X37" si="26">+C35+C36</f>
        <v>0.23199999999999932</v>
      </c>
      <c r="D37" s="20">
        <f t="shared" si="26"/>
        <v>-11.775</v>
      </c>
      <c r="E37" s="20">
        <f t="shared" si="26"/>
        <v>24.851000000000003</v>
      </c>
      <c r="F37" s="20">
        <f t="shared" si="26"/>
        <v>-11.039</v>
      </c>
      <c r="G37" s="20">
        <f t="shared" si="26"/>
        <v>7.1349999999999998</v>
      </c>
      <c r="H37" s="20">
        <f t="shared" si="26"/>
        <v>3.1049999999999995</v>
      </c>
      <c r="I37" s="20">
        <f t="shared" si="26"/>
        <v>10.888999999999999</v>
      </c>
      <c r="J37" s="20">
        <f t="shared" si="26"/>
        <v>-6.6820000000000004</v>
      </c>
      <c r="K37" s="20">
        <f t="shared" si="26"/>
        <v>13.620999999999999</v>
      </c>
      <c r="L37" s="20">
        <f t="shared" si="26"/>
        <v>3.165</v>
      </c>
      <c r="M37" s="20">
        <f t="shared" si="26"/>
        <v>-0.36999999999999994</v>
      </c>
      <c r="N37" s="20">
        <f t="shared" si="26"/>
        <v>-3.0780000000000003</v>
      </c>
      <c r="O37" s="20">
        <f t="shared" si="26"/>
        <v>7.7279999999999998</v>
      </c>
      <c r="P37" s="20">
        <f t="shared" si="26"/>
        <v>9.6180000000000003</v>
      </c>
      <c r="Q37" s="20">
        <f t="shared" si="26"/>
        <v>6.8780000000000001</v>
      </c>
      <c r="R37" s="20">
        <f t="shared" si="26"/>
        <v>7.4390000000000001</v>
      </c>
      <c r="S37" s="20">
        <f t="shared" si="26"/>
        <v>3.5169999999999999</v>
      </c>
      <c r="T37" s="20">
        <f t="shared" si="26"/>
        <v>4.8259999999999996</v>
      </c>
      <c r="U37" s="20">
        <f t="shared" si="26"/>
        <v>6.4090000000000007</v>
      </c>
      <c r="V37" s="20">
        <f t="shared" si="26"/>
        <v>-9.7480000000000011</v>
      </c>
      <c r="W37" s="20">
        <f t="shared" si="26"/>
        <v>-4.1929999999999996</v>
      </c>
      <c r="X37" s="20">
        <f t="shared" si="26"/>
        <v>20.842000000000002</v>
      </c>
    </row>
    <row r="39" spans="1:24" s="16" customFormat="1" x14ac:dyDescent="0.2">
      <c r="A39" s="18" t="s">
        <v>14</v>
      </c>
      <c r="B39" s="19">
        <v>0</v>
      </c>
      <c r="C39" s="19">
        <v>0</v>
      </c>
      <c r="D39" s="19">
        <v>0</v>
      </c>
      <c r="E39" s="19">
        <v>0</v>
      </c>
      <c r="F39" s="19">
        <v>0</v>
      </c>
      <c r="G39" s="19">
        <v>0</v>
      </c>
      <c r="H39" s="19">
        <v>0</v>
      </c>
      <c r="I39" s="19">
        <v>0</v>
      </c>
      <c r="J39" s="19">
        <v>6.9</v>
      </c>
      <c r="K39" s="19">
        <v>0</v>
      </c>
      <c r="L39" s="19">
        <v>5</v>
      </c>
      <c r="M39" s="19">
        <v>4.5</v>
      </c>
      <c r="N39" s="19">
        <v>4</v>
      </c>
      <c r="O39" s="19">
        <v>1</v>
      </c>
      <c r="P39" s="19">
        <v>0</v>
      </c>
      <c r="Q39" s="19">
        <v>0</v>
      </c>
      <c r="R39" s="19">
        <v>3.25</v>
      </c>
      <c r="S39" s="19">
        <v>10.5</v>
      </c>
      <c r="T39" s="19">
        <v>12.6</v>
      </c>
      <c r="U39" s="19">
        <v>17</v>
      </c>
      <c r="V39" s="19"/>
      <c r="W39" s="19"/>
      <c r="X39" s="19"/>
    </row>
    <row r="40" spans="1:24" s="16" customFormat="1" x14ac:dyDescent="0.2">
      <c r="A40" s="18" t="s">
        <v>13</v>
      </c>
      <c r="B40" s="19">
        <f>368+1</f>
        <v>369</v>
      </c>
      <c r="C40" s="19">
        <v>458.73899999999998</v>
      </c>
      <c r="D40" s="19">
        <v>456.19499999999999</v>
      </c>
      <c r="E40" s="19">
        <v>454.12100000000004</v>
      </c>
      <c r="F40" s="19">
        <v>455.30299999999994</v>
      </c>
      <c r="G40" s="19">
        <v>458.92899999999997</v>
      </c>
      <c r="H40" s="19">
        <f>452.94+1.074</f>
        <v>454.01400000000001</v>
      </c>
      <c r="I40" s="19">
        <f>452.367+1.101</f>
        <v>453.46800000000002</v>
      </c>
      <c r="J40" s="19">
        <f>451.794+1.128+0.104</f>
        <v>453.02599999999995</v>
      </c>
      <c r="K40" s="19">
        <f>457.775+1.258</f>
        <v>459.03299999999996</v>
      </c>
      <c r="L40" s="19">
        <f>472.858-L39</f>
        <v>467.858</v>
      </c>
      <c r="M40" s="19">
        <f>475.383-M39</f>
        <v>470.88299999999998</v>
      </c>
      <c r="N40" s="19">
        <f>474.908-N39</f>
        <v>470.90800000000002</v>
      </c>
      <c r="O40" s="19">
        <f>469.575+1.357</f>
        <v>470.93200000000002</v>
      </c>
      <c r="P40" s="19">
        <v>488.95699999999999</v>
      </c>
      <c r="Q40" s="19">
        <v>490.21800000000002</v>
      </c>
      <c r="R40" s="19">
        <v>491.47899999999998</v>
      </c>
      <c r="S40" s="19">
        <v>491.28800000000001</v>
      </c>
      <c r="T40" s="19">
        <v>492.52499999999998</v>
      </c>
      <c r="U40" s="19">
        <v>493.76299999999998</v>
      </c>
      <c r="V40" s="19"/>
      <c r="W40" s="19"/>
      <c r="X40" s="19"/>
    </row>
    <row r="41" spans="1:24" s="16" customFormat="1" x14ac:dyDescent="0.2">
      <c r="A41" s="18" t="s">
        <v>12</v>
      </c>
      <c r="B41" s="19">
        <f t="shared" ref="B41:F41" si="27">B39+B40+0</f>
        <v>369</v>
      </c>
      <c r="C41" s="19">
        <f t="shared" si="27"/>
        <v>458.73899999999998</v>
      </c>
      <c r="D41" s="19">
        <f t="shared" si="27"/>
        <v>456.19499999999999</v>
      </c>
      <c r="E41" s="19">
        <f t="shared" si="27"/>
        <v>454.12100000000004</v>
      </c>
      <c r="F41" s="19">
        <f t="shared" si="27"/>
        <v>455.30299999999994</v>
      </c>
      <c r="G41" s="19">
        <f t="shared" ref="G41" si="28">G39+G40+0</f>
        <v>458.92899999999997</v>
      </c>
      <c r="H41" s="19">
        <f t="shared" ref="H41:U41" si="29">H39+H40+0</f>
        <v>454.01400000000001</v>
      </c>
      <c r="I41" s="19">
        <f t="shared" si="29"/>
        <v>453.46800000000002</v>
      </c>
      <c r="J41" s="19">
        <f t="shared" si="29"/>
        <v>459.92599999999993</v>
      </c>
      <c r="K41" s="19">
        <f t="shared" si="29"/>
        <v>459.03299999999996</v>
      </c>
      <c r="L41" s="19">
        <f t="shared" si="29"/>
        <v>472.858</v>
      </c>
      <c r="M41" s="19">
        <f t="shared" si="29"/>
        <v>475.38299999999998</v>
      </c>
      <c r="N41" s="19">
        <f t="shared" si="29"/>
        <v>474.90800000000002</v>
      </c>
      <c r="O41" s="19">
        <f t="shared" si="29"/>
        <v>471.93200000000002</v>
      </c>
      <c r="P41" s="19">
        <f t="shared" si="29"/>
        <v>488.95699999999999</v>
      </c>
      <c r="Q41" s="19">
        <f t="shared" si="29"/>
        <v>490.21800000000002</v>
      </c>
      <c r="R41" s="19">
        <f t="shared" si="29"/>
        <v>494.72899999999998</v>
      </c>
      <c r="S41" s="19">
        <f t="shared" si="29"/>
        <v>501.78800000000001</v>
      </c>
      <c r="T41" s="19">
        <f t="shared" si="29"/>
        <v>505.125</v>
      </c>
      <c r="U41" s="19">
        <f t="shared" si="29"/>
        <v>510.76299999999998</v>
      </c>
      <c r="V41" s="19"/>
      <c r="W41" s="19"/>
      <c r="X41" s="19"/>
    </row>
    <row r="42" spans="1:24" s="16" customFormat="1" x14ac:dyDescent="0.2">
      <c r="A42" s="18" t="s">
        <v>11</v>
      </c>
      <c r="B42" s="17">
        <v>0</v>
      </c>
      <c r="C42" s="17">
        <v>0</v>
      </c>
      <c r="D42" s="17">
        <v>0</v>
      </c>
      <c r="E42" s="17">
        <v>0</v>
      </c>
      <c r="F42" s="17">
        <v>0</v>
      </c>
      <c r="G42" s="17">
        <v>0</v>
      </c>
      <c r="H42" s="17">
        <v>0</v>
      </c>
      <c r="I42" s="17">
        <v>0</v>
      </c>
      <c r="J42" s="17">
        <v>0</v>
      </c>
      <c r="K42" s="17">
        <v>0</v>
      </c>
      <c r="L42" s="17">
        <v>0</v>
      </c>
      <c r="M42" s="17">
        <v>0</v>
      </c>
      <c r="N42" s="17">
        <v>0</v>
      </c>
      <c r="O42" s="17">
        <v>0</v>
      </c>
      <c r="P42" s="17">
        <v>0</v>
      </c>
      <c r="Q42" s="17">
        <v>0</v>
      </c>
      <c r="R42" s="17">
        <v>0</v>
      </c>
      <c r="S42" s="17">
        <v>0</v>
      </c>
      <c r="T42" s="17">
        <v>0</v>
      </c>
      <c r="U42" s="17">
        <v>0</v>
      </c>
      <c r="V42" s="17"/>
      <c r="W42" s="17"/>
      <c r="X42" s="17"/>
    </row>
    <row r="43" spans="1:24" x14ac:dyDescent="0.2">
      <c r="B43" s="16"/>
      <c r="C43" s="16"/>
      <c r="D43" s="16"/>
      <c r="E43" s="16"/>
      <c r="F43" s="16"/>
      <c r="G43" s="16"/>
      <c r="H43" s="16"/>
      <c r="I43" s="16"/>
      <c r="J43" s="16"/>
      <c r="K43" s="16"/>
      <c r="L43" s="16"/>
      <c r="M43" s="16"/>
      <c r="N43" s="16"/>
      <c r="O43" s="16"/>
      <c r="P43" s="16"/>
      <c r="Q43" s="16"/>
      <c r="R43" s="16"/>
      <c r="S43" s="16"/>
    </row>
    <row r="44" spans="1:24" x14ac:dyDescent="0.2">
      <c r="A44" s="15" t="s">
        <v>10</v>
      </c>
      <c r="B44" s="27">
        <v>15</v>
      </c>
      <c r="C44" s="27">
        <v>33.893999999999998</v>
      </c>
      <c r="D44" s="27">
        <v>14.72</v>
      </c>
      <c r="E44" s="27">
        <v>28.175000000000001</v>
      </c>
      <c r="F44" s="27">
        <v>3.4</v>
      </c>
      <c r="G44" s="27">
        <v>12.704999999999998</v>
      </c>
      <c r="H44" s="27">
        <v>7.4499999999999993</v>
      </c>
      <c r="I44" s="27">
        <v>4.4059999999999997</v>
      </c>
      <c r="J44" s="27">
        <v>0.48000000000000148</v>
      </c>
      <c r="K44" s="27">
        <v>0.316</v>
      </c>
      <c r="L44" s="27">
        <v>0.59499999999999997</v>
      </c>
      <c r="M44" s="27">
        <v>0.10199999999999999</v>
      </c>
      <c r="N44" s="27">
        <v>0.16400000000000001</v>
      </c>
      <c r="O44" s="27">
        <v>0.5</v>
      </c>
      <c r="P44" s="27">
        <v>10.385500000000045</v>
      </c>
      <c r="Q44" s="27">
        <v>2.6065000000000453</v>
      </c>
      <c r="R44" s="27">
        <v>0.5325000000000446</v>
      </c>
      <c r="S44" s="27">
        <v>0.42950000000004662</v>
      </c>
      <c r="T44" s="27">
        <v>0.54150000000004761</v>
      </c>
      <c r="U44" s="27">
        <v>2.0865000000000458</v>
      </c>
      <c r="V44" s="14"/>
      <c r="W44" s="14"/>
      <c r="X44" s="14"/>
    </row>
    <row r="46" spans="1:24" x14ac:dyDescent="0.2">
      <c r="A46" s="1" t="s">
        <v>9</v>
      </c>
      <c r="B46" s="11"/>
      <c r="C46" s="11">
        <f t="shared" ref="C46:U46" si="30">SUM(C12:F12)</f>
        <v>484.81400000000008</v>
      </c>
      <c r="D46" s="11">
        <f t="shared" si="30"/>
        <v>484.46499999999997</v>
      </c>
      <c r="E46" s="11">
        <f t="shared" si="30"/>
        <v>483.75800000000004</v>
      </c>
      <c r="F46" s="11">
        <f t="shared" si="30"/>
        <v>489.84199999999998</v>
      </c>
      <c r="G46" s="11">
        <f t="shared" si="30"/>
        <v>493.49</v>
      </c>
      <c r="H46" s="11">
        <f t="shared" si="30"/>
        <v>490.93400000000008</v>
      </c>
      <c r="I46" s="11">
        <f t="shared" si="30"/>
        <v>505.35599999999999</v>
      </c>
      <c r="J46" s="11">
        <f t="shared" si="30"/>
        <v>514.47199999999998</v>
      </c>
      <c r="K46" s="11">
        <f t="shared" si="30"/>
        <v>526.65200000000004</v>
      </c>
      <c r="L46" s="11">
        <f t="shared" si="30"/>
        <v>547.67399999999986</v>
      </c>
      <c r="M46" s="11">
        <f t="shared" si="30"/>
        <v>567.67899999999986</v>
      </c>
      <c r="N46" s="11">
        <f t="shared" si="30"/>
        <v>594.94699999999989</v>
      </c>
      <c r="O46" s="11">
        <f t="shared" si="30"/>
        <v>602.87199999999996</v>
      </c>
      <c r="P46" s="11">
        <f t="shared" si="30"/>
        <v>600.82500000000005</v>
      </c>
      <c r="Q46" s="11">
        <f t="shared" si="30"/>
        <v>613.03200000000004</v>
      </c>
      <c r="R46" s="11">
        <f t="shared" si="30"/>
        <v>624.01400000000001</v>
      </c>
      <c r="S46" s="11">
        <f t="shared" si="30"/>
        <v>627.77099999999996</v>
      </c>
      <c r="T46" s="11">
        <f t="shared" si="30"/>
        <v>668.96299999999997</v>
      </c>
      <c r="U46" s="11">
        <f t="shared" si="30"/>
        <v>712.61599999999999</v>
      </c>
    </row>
    <row r="47" spans="1:24" x14ac:dyDescent="0.2">
      <c r="A47" s="1" t="s">
        <v>8</v>
      </c>
      <c r="B47" s="12">
        <v>87</v>
      </c>
      <c r="C47" s="11">
        <f t="shared" ref="C47:D47" si="31">+C27</f>
        <v>86.800000000000011</v>
      </c>
      <c r="D47" s="11">
        <f t="shared" si="31"/>
        <v>81.430000000000007</v>
      </c>
      <c r="E47" s="11">
        <f t="shared" ref="E47:F47" si="32">+E27</f>
        <v>78.930000000000007</v>
      </c>
      <c r="F47" s="11">
        <f t="shared" si="32"/>
        <v>76.557000000000002</v>
      </c>
      <c r="G47" s="11">
        <f t="shared" ref="G47" si="33">+G27</f>
        <v>75.180999999999997</v>
      </c>
      <c r="H47" s="11">
        <f t="shared" ref="H47:I47" si="34">+H27</f>
        <v>74.39</v>
      </c>
      <c r="I47" s="11">
        <f t="shared" si="34"/>
        <v>80.697000000000003</v>
      </c>
      <c r="J47" s="11">
        <f t="shared" ref="J47:K47" si="35">+J27</f>
        <v>84.841999999999999</v>
      </c>
      <c r="K47" s="11">
        <f t="shared" si="35"/>
        <v>85.796000000000006</v>
      </c>
      <c r="L47" s="11">
        <f t="shared" ref="L47:U47" si="36">+L27</f>
        <v>81.858999999999995</v>
      </c>
      <c r="M47" s="11">
        <f t="shared" si="36"/>
        <v>82.013999999999996</v>
      </c>
      <c r="N47" s="11">
        <f t="shared" si="36"/>
        <v>88.661000000000001</v>
      </c>
      <c r="O47" s="11">
        <f t="shared" si="36"/>
        <v>92.760999999999996</v>
      </c>
      <c r="P47" s="11">
        <f t="shared" si="36"/>
        <v>79.832000000000008</v>
      </c>
      <c r="Q47" s="11">
        <f t="shared" si="36"/>
        <v>85.953000000000003</v>
      </c>
      <c r="R47" s="11">
        <f t="shared" si="36"/>
        <v>88.293000000000006</v>
      </c>
      <c r="S47" s="11">
        <f t="shared" si="36"/>
        <v>88.539000000000001</v>
      </c>
      <c r="T47" s="11">
        <f t="shared" si="36"/>
        <v>102.89400000000001</v>
      </c>
      <c r="U47" s="11">
        <f t="shared" si="36"/>
        <v>118.82400000000001</v>
      </c>
    </row>
    <row r="48" spans="1:24" x14ac:dyDescent="0.2">
      <c r="A48" s="1" t="s">
        <v>7</v>
      </c>
      <c r="B48" s="11"/>
      <c r="C48" s="11">
        <f t="shared" ref="C48:U48" si="37">+SUM(C37:F37)</f>
        <v>2.2690000000000019</v>
      </c>
      <c r="D48" s="11">
        <f t="shared" si="37"/>
        <v>9.1720000000000024</v>
      </c>
      <c r="E48" s="11">
        <f t="shared" si="37"/>
        <v>24.052000000000003</v>
      </c>
      <c r="F48" s="11">
        <f t="shared" si="37"/>
        <v>10.09</v>
      </c>
      <c r="G48" s="11">
        <f t="shared" si="37"/>
        <v>14.446999999999997</v>
      </c>
      <c r="H48" s="11">
        <f t="shared" si="37"/>
        <v>20.933</v>
      </c>
      <c r="I48" s="11">
        <f t="shared" si="37"/>
        <v>20.992999999999995</v>
      </c>
      <c r="J48" s="11">
        <f t="shared" si="37"/>
        <v>9.734</v>
      </c>
      <c r="K48" s="11">
        <f t="shared" si="37"/>
        <v>13.337999999999997</v>
      </c>
      <c r="L48" s="11">
        <f t="shared" si="37"/>
        <v>7.4449999999999994</v>
      </c>
      <c r="M48" s="11">
        <f t="shared" si="37"/>
        <v>13.898</v>
      </c>
      <c r="N48" s="11">
        <f t="shared" si="37"/>
        <v>21.146000000000001</v>
      </c>
      <c r="O48" s="11">
        <f t="shared" si="37"/>
        <v>31.663</v>
      </c>
      <c r="P48" s="11">
        <f t="shared" si="37"/>
        <v>27.452000000000002</v>
      </c>
      <c r="Q48" s="11">
        <f t="shared" si="37"/>
        <v>22.66</v>
      </c>
      <c r="R48" s="11">
        <f t="shared" si="37"/>
        <v>22.191000000000003</v>
      </c>
      <c r="S48" s="11">
        <f t="shared" si="37"/>
        <v>5.0039999999999996</v>
      </c>
      <c r="T48" s="11">
        <f t="shared" si="37"/>
        <v>-2.7060000000000013</v>
      </c>
      <c r="U48" s="11">
        <f t="shared" si="37"/>
        <v>13.310000000000002</v>
      </c>
    </row>
    <row r="50" spans="1:24" s="10" customFormat="1" x14ac:dyDescent="0.2">
      <c r="A50" s="10" t="s">
        <v>6</v>
      </c>
      <c r="B50" s="10">
        <f t="shared" ref="B50" si="38">+SUM(B39:B40)/B47</f>
        <v>4.2413793103448274</v>
      </c>
      <c r="C50" s="10">
        <f t="shared" ref="C50:D50" si="39">+SUM(C39:C40)/C47</f>
        <v>5.2850115207373261</v>
      </c>
      <c r="D50" s="10">
        <f t="shared" si="39"/>
        <v>5.6022964509394564</v>
      </c>
      <c r="E50" s="10">
        <f t="shared" ref="E50:F50" si="40">+SUM(E39:E40)/E47</f>
        <v>5.7534650956543771</v>
      </c>
      <c r="F50" s="10">
        <f t="shared" si="40"/>
        <v>5.9472419243178276</v>
      </c>
      <c r="G50" s="10">
        <f t="shared" ref="G50" si="41">+SUM(G39:G40)/G47</f>
        <v>6.1043215706095957</v>
      </c>
      <c r="H50" s="10">
        <f t="shared" ref="H50:I50" si="42">+SUM(H39:H40)/H47</f>
        <v>6.103159026750907</v>
      </c>
      <c r="I50" s="10">
        <f t="shared" si="42"/>
        <v>5.6193910554295696</v>
      </c>
      <c r="J50" s="10">
        <f t="shared" ref="J50:K50" si="43">+SUM(J39:J40)/J47</f>
        <v>5.4209707456212719</v>
      </c>
      <c r="K50" s="10">
        <f t="shared" si="43"/>
        <v>5.3502843955429151</v>
      </c>
      <c r="L50" s="10">
        <f t="shared" ref="L50:M50" si="44">+SUM(L39:L40)/L47</f>
        <v>5.7764937270184102</v>
      </c>
      <c r="M50" s="10">
        <f t="shared" si="44"/>
        <v>5.7963640354085886</v>
      </c>
      <c r="N50" s="10">
        <f t="shared" ref="N50:U50" si="45">+SUM(N39:N40)/N47</f>
        <v>5.3564475925153117</v>
      </c>
      <c r="O50" s="10">
        <f t="shared" si="45"/>
        <v>5.087612250838176</v>
      </c>
      <c r="P50" s="10">
        <f t="shared" si="45"/>
        <v>6.1248246317266251</v>
      </c>
      <c r="Q50" s="10">
        <f t="shared" si="45"/>
        <v>5.703326236431538</v>
      </c>
      <c r="R50" s="10">
        <f t="shared" si="45"/>
        <v>5.6032641319243872</v>
      </c>
      <c r="S50" s="10">
        <f t="shared" si="45"/>
        <v>5.6674233953399069</v>
      </c>
      <c r="T50" s="10">
        <f t="shared" si="45"/>
        <v>4.9091783777479732</v>
      </c>
      <c r="U50" s="10">
        <f t="shared" si="45"/>
        <v>4.2984834713525881</v>
      </c>
    </row>
    <row r="51" spans="1:24" s="10" customFormat="1" x14ac:dyDescent="0.2">
      <c r="A51" s="10" t="s">
        <v>5</v>
      </c>
      <c r="B51" s="10">
        <f t="shared" ref="B51" si="46">+B41/B47</f>
        <v>4.2413793103448274</v>
      </c>
      <c r="C51" s="10">
        <f t="shared" ref="C51:D51" si="47">+C41/C47</f>
        <v>5.2850115207373261</v>
      </c>
      <c r="D51" s="10">
        <f t="shared" si="47"/>
        <v>5.6022964509394564</v>
      </c>
      <c r="E51" s="10">
        <f t="shared" ref="E51:F51" si="48">+E41/E47</f>
        <v>5.7534650956543771</v>
      </c>
      <c r="F51" s="10">
        <f t="shared" si="48"/>
        <v>5.9472419243178276</v>
      </c>
      <c r="G51" s="10">
        <f t="shared" ref="G51" si="49">+G41/G47</f>
        <v>6.1043215706095957</v>
      </c>
      <c r="H51" s="10">
        <f t="shared" ref="H51:I51" si="50">+H41/H47</f>
        <v>6.103159026750907</v>
      </c>
      <c r="I51" s="10">
        <f t="shared" si="50"/>
        <v>5.6193910554295696</v>
      </c>
      <c r="J51" s="10">
        <f t="shared" ref="J51:K51" si="51">+J41/J47</f>
        <v>5.4209707456212719</v>
      </c>
      <c r="K51" s="10">
        <f t="shared" si="51"/>
        <v>5.3502843955429151</v>
      </c>
      <c r="L51" s="10">
        <f t="shared" ref="L51:U51" si="52">+L41/L47</f>
        <v>5.7764937270184102</v>
      </c>
      <c r="M51" s="10">
        <f t="shared" si="52"/>
        <v>5.7963640354085886</v>
      </c>
      <c r="N51" s="10">
        <f t="shared" si="52"/>
        <v>5.3564475925153117</v>
      </c>
      <c r="O51" s="10">
        <f t="shared" si="52"/>
        <v>5.087612250838176</v>
      </c>
      <c r="P51" s="10">
        <f t="shared" si="52"/>
        <v>6.1248246317266251</v>
      </c>
      <c r="Q51" s="10">
        <f t="shared" si="52"/>
        <v>5.703326236431538</v>
      </c>
      <c r="R51" s="10">
        <f t="shared" si="52"/>
        <v>5.6032641319243872</v>
      </c>
      <c r="S51" s="10">
        <f t="shared" si="52"/>
        <v>5.6674233953399069</v>
      </c>
      <c r="T51" s="10">
        <f t="shared" si="52"/>
        <v>4.9091783777479732</v>
      </c>
      <c r="U51" s="10">
        <f t="shared" si="52"/>
        <v>4.2984834713525881</v>
      </c>
    </row>
    <row r="52" spans="1:24" s="10" customFormat="1" x14ac:dyDescent="0.2">
      <c r="A52" s="10" t="s">
        <v>4</v>
      </c>
      <c r="B52" s="10">
        <f t="shared" ref="B52" si="53">+(B41-B44)/B47</f>
        <v>4.068965517241379</v>
      </c>
      <c r="C52" s="10">
        <f t="shared" ref="C52:D52" si="54">+(C41-C44)/C47</f>
        <v>4.894527649769584</v>
      </c>
      <c r="D52" s="10">
        <f t="shared" si="54"/>
        <v>5.421527692496622</v>
      </c>
      <c r="E52" s="10">
        <f t="shared" ref="E52:F52" si="55">+(E41-E44)/E47</f>
        <v>5.3965032307107563</v>
      </c>
      <c r="F52" s="10">
        <f t="shared" si="55"/>
        <v>5.9028305706858939</v>
      </c>
      <c r="G52" s="10">
        <f t="shared" ref="G52" si="56">+(G41-G44)/G47</f>
        <v>5.9353294050358469</v>
      </c>
      <c r="H52" s="10">
        <f t="shared" ref="H52:I52" si="57">+(H41-H44)/H47</f>
        <v>6.0030111574136313</v>
      </c>
      <c r="I52" s="10">
        <f t="shared" si="57"/>
        <v>5.564791751861903</v>
      </c>
      <c r="J52" s="10">
        <f t="shared" ref="J52:K52" si="58">+(J41-J44)/J47</f>
        <v>5.4153131703637341</v>
      </c>
      <c r="K52" s="10">
        <f t="shared" si="58"/>
        <v>5.3466012401510552</v>
      </c>
      <c r="L52" s="10">
        <f t="shared" ref="L52:U52" si="59">+(L41-L44)/L47</f>
        <v>5.7692251310179703</v>
      </c>
      <c r="M52" s="10">
        <f t="shared" si="59"/>
        <v>5.7951203453068993</v>
      </c>
      <c r="N52" s="10">
        <f t="shared" si="59"/>
        <v>5.354597850238549</v>
      </c>
      <c r="O52" s="10">
        <f t="shared" si="59"/>
        <v>5.0822220545272261</v>
      </c>
      <c r="P52" s="10">
        <f t="shared" si="59"/>
        <v>5.994732688646156</v>
      </c>
      <c r="Q52" s="10">
        <f t="shared" si="59"/>
        <v>5.6730015240887459</v>
      </c>
      <c r="R52" s="10">
        <f t="shared" si="59"/>
        <v>5.5972330762348079</v>
      </c>
      <c r="S52" s="10">
        <f t="shared" si="59"/>
        <v>5.662572425710704</v>
      </c>
      <c r="T52" s="10">
        <f t="shared" si="59"/>
        <v>4.9039156802145891</v>
      </c>
      <c r="U52" s="10">
        <f t="shared" si="59"/>
        <v>4.2809238874301476</v>
      </c>
    </row>
    <row r="53" spans="1:24" s="6" customFormat="1" x14ac:dyDescent="0.2">
      <c r="A53" s="6" t="s">
        <v>3</v>
      </c>
      <c r="B53" s="6">
        <f t="shared" ref="B53" si="60">+B48/B41</f>
        <v>0</v>
      </c>
      <c r="C53" s="6">
        <f t="shared" ref="C53:D53" si="61">+C48/C41</f>
        <v>4.946167646526679E-3</v>
      </c>
      <c r="D53" s="6">
        <f t="shared" si="61"/>
        <v>2.0105437367792287E-2</v>
      </c>
      <c r="E53" s="6">
        <f t="shared" ref="E53:F53" si="62">+E48/E41</f>
        <v>5.2963857650273831E-2</v>
      </c>
      <c r="F53" s="6">
        <f t="shared" si="62"/>
        <v>2.2161066366793106E-2</v>
      </c>
      <c r="G53" s="6">
        <f t="shared" ref="G53" si="63">+G48/G41</f>
        <v>3.1479814960484083E-2</v>
      </c>
      <c r="H53" s="6">
        <f t="shared" ref="H53:I53" si="64">+H48/H41</f>
        <v>4.6106507728836552E-2</v>
      </c>
      <c r="I53" s="6">
        <f t="shared" si="64"/>
        <v>4.6294336094277862E-2</v>
      </c>
      <c r="J53" s="6">
        <f t="shared" ref="J53:K53" si="65">+J48/J41</f>
        <v>2.1164274252814586E-2</v>
      </c>
      <c r="K53" s="6">
        <f t="shared" si="65"/>
        <v>2.9056734483141732E-2</v>
      </c>
      <c r="L53" s="6">
        <f t="shared" ref="L53:U53" si="66">+L48/L41</f>
        <v>1.5744684450723048E-2</v>
      </c>
      <c r="M53" s="6">
        <f t="shared" si="66"/>
        <v>2.9235374424411476E-2</v>
      </c>
      <c r="N53" s="6">
        <f t="shared" si="66"/>
        <v>4.4526518820487339E-2</v>
      </c>
      <c r="O53" s="6">
        <f t="shared" si="66"/>
        <v>6.709229295745997E-2</v>
      </c>
      <c r="P53" s="6">
        <f t="shared" si="66"/>
        <v>5.614399630233334E-2</v>
      </c>
      <c r="Q53" s="6">
        <f t="shared" si="66"/>
        <v>4.6224332847835045E-2</v>
      </c>
      <c r="R53" s="6">
        <f t="shared" si="66"/>
        <v>4.4854859933418097E-2</v>
      </c>
      <c r="S53" s="6">
        <f t="shared" si="66"/>
        <v>9.9723389160362528E-3</v>
      </c>
      <c r="T53" s="6">
        <f t="shared" si="66"/>
        <v>-5.3570898292501883E-3</v>
      </c>
      <c r="U53" s="6">
        <f t="shared" si="66"/>
        <v>2.6059052828807105E-2</v>
      </c>
    </row>
    <row r="54" spans="1:24" s="6" customFormat="1" x14ac:dyDescent="0.2">
      <c r="A54" s="8" t="s">
        <v>2</v>
      </c>
      <c r="B54" s="9">
        <v>7</v>
      </c>
      <c r="C54" s="9">
        <v>7</v>
      </c>
      <c r="D54" s="9">
        <v>7</v>
      </c>
      <c r="E54" s="9">
        <v>7</v>
      </c>
      <c r="F54" s="9">
        <v>7</v>
      </c>
      <c r="G54" s="9">
        <v>7</v>
      </c>
      <c r="H54" s="9">
        <v>7</v>
      </c>
      <c r="I54" s="9">
        <v>7</v>
      </c>
      <c r="J54" s="9">
        <v>7</v>
      </c>
      <c r="K54" s="9">
        <v>7</v>
      </c>
      <c r="L54" s="9">
        <v>7</v>
      </c>
      <c r="M54" s="9">
        <v>7</v>
      </c>
      <c r="N54" s="9">
        <v>7</v>
      </c>
      <c r="O54" s="9">
        <v>7</v>
      </c>
      <c r="P54" s="9">
        <v>7</v>
      </c>
      <c r="Q54" s="9">
        <v>7</v>
      </c>
      <c r="R54" s="9">
        <v>7</v>
      </c>
      <c r="S54" s="9">
        <v>7</v>
      </c>
      <c r="T54" s="9">
        <v>7</v>
      </c>
      <c r="U54" s="9">
        <v>7</v>
      </c>
      <c r="V54" s="8"/>
      <c r="W54" s="8"/>
      <c r="X54" s="8"/>
    </row>
    <row r="55" spans="1:24" s="6" customFormat="1" x14ac:dyDescent="0.2">
      <c r="A55" s="6" t="s">
        <v>1</v>
      </c>
      <c r="B55" s="7" t="str">
        <f t="shared" ref="B55" si="67">IF(B42=0,IF(B54="","","*"&amp;TEXT(B54,"0.0x")),(B41+B42-B44)/B47)</f>
        <v>*7.0x</v>
      </c>
      <c r="C55" s="7" t="str">
        <f t="shared" ref="C55:D55" si="68">IF(C42=0,IF(C54="","","*"&amp;TEXT(C54,"0.0x")),(C41+C42-C44)/C47)</f>
        <v>*7.0x</v>
      </c>
      <c r="D55" s="7" t="str">
        <f t="shared" si="68"/>
        <v>*7.0x</v>
      </c>
      <c r="E55" s="7" t="str">
        <f t="shared" ref="E55:F55" si="69">IF(E42=0,IF(E54="","","*"&amp;TEXT(E54,"0.0x")),(E41+E42-E44)/E47)</f>
        <v>*7.0x</v>
      </c>
      <c r="F55" s="7" t="str">
        <f t="shared" si="69"/>
        <v>*7.0x</v>
      </c>
      <c r="G55" s="7" t="str">
        <f t="shared" ref="G55" si="70">IF(G42=0,IF(G54="","","*"&amp;TEXT(G54,"0.0x")),(G41+G42-G44)/G47)</f>
        <v>*7.0x</v>
      </c>
      <c r="H55" s="7" t="str">
        <f t="shared" ref="H55:I55" si="71">IF(H42=0,IF(H54="","","*"&amp;TEXT(H54,"0.0x")),(H41+H42-H44)/H47)</f>
        <v>*7.0x</v>
      </c>
      <c r="I55" s="7" t="str">
        <f t="shared" si="71"/>
        <v>*7.0x</v>
      </c>
      <c r="J55" s="7" t="str">
        <f t="shared" ref="J55:K55" si="72">IF(J42=0,IF(J54="","","*"&amp;TEXT(J54,"0.0x")),(J41+J42-J44)/J47)</f>
        <v>*7.0x</v>
      </c>
      <c r="K55" s="7" t="str">
        <f t="shared" si="72"/>
        <v>*7.0x</v>
      </c>
      <c r="L55" s="7" t="str">
        <f t="shared" ref="L55:U55" si="73">IF(L42=0,IF(L54="","","*"&amp;TEXT(L54,"0.0x")),(L41+L42-L44)/L47)</f>
        <v>*7.0x</v>
      </c>
      <c r="M55" s="7" t="str">
        <f t="shared" si="73"/>
        <v>*7.0x</v>
      </c>
      <c r="N55" s="7" t="str">
        <f t="shared" si="73"/>
        <v>*7.0x</v>
      </c>
      <c r="O55" s="7" t="str">
        <f t="shared" si="73"/>
        <v>*7.0x</v>
      </c>
      <c r="P55" s="7" t="str">
        <f t="shared" si="73"/>
        <v>*7.0x</v>
      </c>
      <c r="Q55" s="7" t="str">
        <f t="shared" si="73"/>
        <v>*7.0x</v>
      </c>
      <c r="R55" s="7" t="str">
        <f t="shared" si="73"/>
        <v>*7.0x</v>
      </c>
      <c r="S55" s="7" t="str">
        <f t="shared" si="73"/>
        <v>*7.0x</v>
      </c>
      <c r="T55" s="7" t="str">
        <f t="shared" si="73"/>
        <v>*7.0x</v>
      </c>
      <c r="U55" s="7" t="str">
        <f t="shared" si="73"/>
        <v>*7.0x</v>
      </c>
      <c r="V55" s="7" t="str">
        <f>IF(V42=0,IF(V54="","",CONCATENATE("* ",V54,"x")),(V41+V42-V44)/V47)</f>
        <v/>
      </c>
      <c r="W55" s="7" t="str">
        <f>IF(W42=0,IF(W54="","",CONCATENATE("* ",W54,"x")),(W41+W42-W44)/W47)</f>
        <v/>
      </c>
      <c r="X55" s="7" t="str">
        <f>IF(X42=0,IF(X54="","",CONCATENATE("* ",X54,"x")),(X41+X42-X44)/X47)</f>
        <v/>
      </c>
    </row>
    <row r="56" spans="1:24" x14ac:dyDescent="0.2">
      <c r="U56" s="3"/>
    </row>
    <row r="57" spans="1:24" ht="80.25" customHeight="1" x14ac:dyDescent="0.2">
      <c r="A57" s="5" t="s">
        <v>0</v>
      </c>
      <c r="B57" s="4" t="s">
        <v>628</v>
      </c>
      <c r="C57" s="4" t="s">
        <v>104</v>
      </c>
      <c r="D57" s="4" t="s">
        <v>104</v>
      </c>
      <c r="E57" s="4" t="s">
        <v>104</v>
      </c>
      <c r="F57" s="4" t="s">
        <v>367</v>
      </c>
      <c r="G57" s="4" t="s">
        <v>367</v>
      </c>
      <c r="H57" s="4" t="s">
        <v>367</v>
      </c>
      <c r="I57" s="4" t="s">
        <v>367</v>
      </c>
      <c r="J57" s="4" t="s">
        <v>367</v>
      </c>
      <c r="K57" s="4" t="s">
        <v>367</v>
      </c>
      <c r="L57" s="4"/>
      <c r="M57" s="4"/>
      <c r="N57" s="4"/>
      <c r="O57" s="4" t="s">
        <v>104</v>
      </c>
      <c r="P57" s="4" t="s">
        <v>104</v>
      </c>
      <c r="Q57" s="4" t="s">
        <v>104</v>
      </c>
      <c r="R57" s="4"/>
      <c r="S57" s="4"/>
      <c r="T57" s="4"/>
      <c r="U57" s="4"/>
      <c r="V57" s="4"/>
      <c r="W57" s="4"/>
      <c r="X57" s="4"/>
    </row>
    <row r="58" spans="1:24" x14ac:dyDescent="0.2">
      <c r="A58" s="2"/>
      <c r="B58" s="3"/>
      <c r="C58" s="3"/>
      <c r="D58" s="3"/>
      <c r="E58" s="3"/>
      <c r="F58" s="3"/>
      <c r="G58" s="3"/>
      <c r="H58" s="3"/>
      <c r="I58" s="3"/>
      <c r="J58" s="3"/>
      <c r="K58" s="3"/>
      <c r="L58" s="3"/>
      <c r="M58" s="3"/>
      <c r="N58" s="3"/>
      <c r="O58" s="3"/>
      <c r="P58" s="3"/>
      <c r="Q58" s="3"/>
    </row>
    <row r="59" spans="1:24" x14ac:dyDescent="0.2">
      <c r="A59" s="2"/>
    </row>
  </sheetData>
  <pageMargins left="0.7" right="0.7" top="0.75" bottom="0.75" header="0.3" footer="0.3"/>
  <pageSetup orientation="portrait" r:id="rId1"/>
  <ignoredErrors>
    <ignoredError sqref="K46:U50 F46:G4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7" width="10.7109375" style="1" customWidth="1"/>
    <col min="18" max="16384" width="9.140625" style="1"/>
  </cols>
  <sheetData>
    <row r="2" spans="1:17" x14ac:dyDescent="0.2">
      <c r="A2" s="34" t="s">
        <v>45</v>
      </c>
      <c r="B2" s="1" t="s">
        <v>156</v>
      </c>
    </row>
    <row r="3" spans="1:17" s="35" customFormat="1" x14ac:dyDescent="0.2">
      <c r="A3" s="36" t="s">
        <v>43</v>
      </c>
      <c r="B3" s="35" t="s">
        <v>155</v>
      </c>
    </row>
    <row r="4" spans="1:17" x14ac:dyDescent="0.2">
      <c r="A4" s="34" t="s">
        <v>41</v>
      </c>
      <c r="B4" s="1" t="s">
        <v>40</v>
      </c>
    </row>
    <row r="5" spans="1:17" x14ac:dyDescent="0.2">
      <c r="A5" s="34" t="s">
        <v>39</v>
      </c>
    </row>
    <row r="6" spans="1:17" x14ac:dyDescent="0.2">
      <c r="A6" s="34" t="s">
        <v>38</v>
      </c>
    </row>
    <row r="7" spans="1:17" x14ac:dyDescent="0.2">
      <c r="A7" s="34" t="s">
        <v>37</v>
      </c>
      <c r="B7" s="1" t="s">
        <v>157</v>
      </c>
    </row>
    <row r="8" spans="1:17" x14ac:dyDescent="0.2">
      <c r="A8" s="34" t="s">
        <v>281</v>
      </c>
      <c r="B8" s="1" t="s">
        <v>324</v>
      </c>
    </row>
    <row r="9" spans="1:17" x14ac:dyDescent="0.2">
      <c r="A9" s="22"/>
    </row>
    <row r="10" spans="1:17" x14ac:dyDescent="0.2">
      <c r="A10" s="22" t="s">
        <v>36</v>
      </c>
      <c r="B10" s="33">
        <v>44255</v>
      </c>
      <c r="C10" s="33">
        <v>44165</v>
      </c>
      <c r="D10" s="33">
        <v>44073</v>
      </c>
      <c r="E10" s="33">
        <v>43982</v>
      </c>
      <c r="F10" s="33">
        <v>43889</v>
      </c>
      <c r="G10" s="33">
        <v>43798</v>
      </c>
      <c r="H10" s="33">
        <v>43707</v>
      </c>
      <c r="I10" s="33">
        <v>43616</v>
      </c>
      <c r="J10" s="33">
        <v>43524</v>
      </c>
      <c r="K10" s="33">
        <v>43427</v>
      </c>
      <c r="L10" s="33">
        <v>43336</v>
      </c>
      <c r="M10" s="33">
        <v>43245</v>
      </c>
      <c r="N10" s="33">
        <v>43159</v>
      </c>
      <c r="O10" s="33">
        <v>43063</v>
      </c>
      <c r="P10" s="33">
        <v>42972</v>
      </c>
      <c r="Q10" s="33">
        <v>42881</v>
      </c>
    </row>
    <row r="12" spans="1:17" x14ac:dyDescent="0.2">
      <c r="A12" s="15" t="s">
        <v>35</v>
      </c>
      <c r="B12" s="19">
        <v>323.59999999999991</v>
      </c>
      <c r="C12" s="19">
        <v>298.89999999999998</v>
      </c>
      <c r="D12" s="19">
        <v>248.8</v>
      </c>
      <c r="E12" s="19">
        <v>204.2</v>
      </c>
      <c r="F12" s="19">
        <v>329.70899999999989</v>
      </c>
      <c r="G12" s="19">
        <v>318.58600000000001</v>
      </c>
      <c r="H12" s="19">
        <v>265.714</v>
      </c>
      <c r="I12" s="19">
        <v>326.77700000000004</v>
      </c>
      <c r="J12" s="19">
        <v>386.34000000000009</v>
      </c>
      <c r="K12" s="19">
        <v>372.11200000000002</v>
      </c>
      <c r="L12" s="19">
        <v>332.44400000000002</v>
      </c>
      <c r="M12" s="19">
        <v>375.79599999999999</v>
      </c>
      <c r="N12" s="19">
        <v>534.82799999999997</v>
      </c>
      <c r="O12" s="19">
        <v>444.81700000000001</v>
      </c>
      <c r="P12" s="19">
        <v>374.83199999999999</v>
      </c>
      <c r="Q12" s="19">
        <v>415.70499999999998</v>
      </c>
    </row>
    <row r="13" spans="1:17" s="28" customFormat="1" x14ac:dyDescent="0.2">
      <c r="A13" s="28" t="s">
        <v>34</v>
      </c>
      <c r="B13" s="28">
        <f t="shared" ref="B13:M13" si="0">+B12/F12-1</f>
        <v>-1.8528459944981757E-2</v>
      </c>
      <c r="C13" s="28">
        <f t="shared" si="0"/>
        <v>-6.1791792483034569E-2</v>
      </c>
      <c r="D13" s="28">
        <f t="shared" si="0"/>
        <v>-6.3654907155814122E-2</v>
      </c>
      <c r="E13" s="28">
        <f t="shared" si="0"/>
        <v>-0.37510901930062412</v>
      </c>
      <c r="F13" s="28">
        <f t="shared" si="0"/>
        <v>-0.14658332039136557</v>
      </c>
      <c r="G13" s="28">
        <f t="shared" si="0"/>
        <v>-0.14384378896676275</v>
      </c>
      <c r="H13" s="28">
        <f t="shared" si="0"/>
        <v>-0.20072553572932583</v>
      </c>
      <c r="I13" s="28">
        <f t="shared" si="0"/>
        <v>-0.13044045173445151</v>
      </c>
      <c r="J13" s="28">
        <f t="shared" si="0"/>
        <v>-0.27763692252462457</v>
      </c>
      <c r="K13" s="28">
        <f t="shared" si="0"/>
        <v>-0.16344923867568006</v>
      </c>
      <c r="L13" s="28">
        <f t="shared" si="0"/>
        <v>-0.11308532889401113</v>
      </c>
      <c r="M13" s="28">
        <f t="shared" si="0"/>
        <v>-9.6003175328658541E-2</v>
      </c>
    </row>
    <row r="14" spans="1:17"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c r="O14" s="32"/>
      <c r="P14" s="32" t="s">
        <v>32</v>
      </c>
      <c r="Q14" s="32" t="s">
        <v>32</v>
      </c>
    </row>
    <row r="16" spans="1:17" s="22" customFormat="1" x14ac:dyDescent="0.2">
      <c r="A16" s="30" t="s">
        <v>31</v>
      </c>
      <c r="B16" s="29">
        <v>78.415999999999897</v>
      </c>
      <c r="C16" s="29">
        <v>54.548999999999964</v>
      </c>
      <c r="D16" s="29">
        <v>60.016000000000005</v>
      </c>
      <c r="E16" s="29">
        <v>37.784999999999997</v>
      </c>
      <c r="F16" s="29">
        <v>65.090999999999923</v>
      </c>
      <c r="G16" s="29">
        <v>29.864000000000033</v>
      </c>
      <c r="H16" s="29">
        <v>54.580999999999996</v>
      </c>
      <c r="I16" s="29">
        <v>57.050000000000047</v>
      </c>
      <c r="J16" s="29">
        <v>63.280000000000037</v>
      </c>
      <c r="K16" s="29">
        <v>20.567000000000021</v>
      </c>
      <c r="L16" s="29">
        <v>39.934000000000026</v>
      </c>
      <c r="M16" s="29">
        <v>-94.718000000000032</v>
      </c>
      <c r="N16" s="29">
        <v>71.745999999999881</v>
      </c>
      <c r="O16" s="29">
        <v>25.543999999999993</v>
      </c>
      <c r="P16" s="29">
        <v>35.020000000000017</v>
      </c>
      <c r="Q16" s="29">
        <v>48.730999999999995</v>
      </c>
    </row>
    <row r="17" spans="1:17" s="28" customFormat="1" x14ac:dyDescent="0.2">
      <c r="A17" s="28" t="s">
        <v>30</v>
      </c>
      <c r="B17" s="28">
        <f t="shared" ref="B17:C17" si="1">+B16/B12</f>
        <v>0.24232385661310235</v>
      </c>
      <c r="C17" s="28">
        <f t="shared" si="1"/>
        <v>0.18249916359986607</v>
      </c>
      <c r="D17" s="28">
        <f t="shared" ref="D17:E17" si="2">+D16/D12</f>
        <v>0.24122186495176851</v>
      </c>
      <c r="E17" s="28">
        <f t="shared" si="2"/>
        <v>0.18503917727717922</v>
      </c>
      <c r="F17" s="28">
        <f t="shared" ref="F17:H17" si="3">+F16/F12</f>
        <v>0.19741954268764259</v>
      </c>
      <c r="G17" s="28">
        <f t="shared" si="3"/>
        <v>9.3739210134783174E-2</v>
      </c>
      <c r="H17" s="28">
        <f t="shared" si="3"/>
        <v>0.20541258646514673</v>
      </c>
      <c r="I17" s="28">
        <f t="shared" ref="I17:Q17" si="4">+I16/I12</f>
        <v>0.1745838905430922</v>
      </c>
      <c r="J17" s="28">
        <f t="shared" si="4"/>
        <v>0.16379354972304194</v>
      </c>
      <c r="K17" s="28">
        <f t="shared" si="4"/>
        <v>5.5270993679322408E-2</v>
      </c>
      <c r="L17" s="28">
        <f t="shared" si="4"/>
        <v>0.12012248679476852</v>
      </c>
      <c r="M17" s="28">
        <f t="shared" si="4"/>
        <v>-0.25204632300503471</v>
      </c>
      <c r="N17" s="28">
        <f t="shared" si="4"/>
        <v>0.13414780078829061</v>
      </c>
      <c r="O17" s="28">
        <f t="shared" si="4"/>
        <v>5.7425862770532583E-2</v>
      </c>
      <c r="P17" s="28">
        <f t="shared" si="4"/>
        <v>9.3428522644811593E-2</v>
      </c>
      <c r="Q17" s="28">
        <f t="shared" si="4"/>
        <v>0.11722495519659373</v>
      </c>
    </row>
    <row r="18" spans="1:17" s="23" customFormat="1" x14ac:dyDescent="0.2"/>
    <row r="19" spans="1:17"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row>
    <row r="20" spans="1:17"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row>
    <row r="21" spans="1:17" s="23" customFormat="1" x14ac:dyDescent="0.2">
      <c r="A21" s="15" t="s">
        <v>18</v>
      </c>
      <c r="B21" s="19">
        <v>0.95599999999996754</v>
      </c>
      <c r="C21" s="19">
        <v>1.3510000000000346</v>
      </c>
      <c r="D21" s="19">
        <v>3.1839999999999975</v>
      </c>
      <c r="E21" s="19">
        <v>10.415000000000006</v>
      </c>
      <c r="F21" s="19">
        <v>4.727000000000011</v>
      </c>
      <c r="G21" s="19">
        <v>16.735999999999969</v>
      </c>
      <c r="H21" s="19">
        <v>5.419000000000004</v>
      </c>
      <c r="I21" s="19">
        <v>12.049999999999947</v>
      </c>
      <c r="J21" s="19">
        <v>-2.2810000000000343</v>
      </c>
      <c r="K21" s="19">
        <v>19.332999999999977</v>
      </c>
      <c r="L21" s="19">
        <v>28.065999999999974</v>
      </c>
      <c r="M21" s="19">
        <v>154.41800000000003</v>
      </c>
      <c r="N21" s="19">
        <v>-6.5219999999999771</v>
      </c>
      <c r="O21" s="19">
        <v>12.456000000000007</v>
      </c>
      <c r="P21" s="19">
        <v>11.979999999999983</v>
      </c>
      <c r="Q21" s="19">
        <v>10.269000000000005</v>
      </c>
    </row>
    <row r="22" spans="1:17" s="22" customFormat="1" x14ac:dyDescent="0.2">
      <c r="A22" s="22" t="s">
        <v>23</v>
      </c>
      <c r="B22" s="20">
        <f t="shared" ref="B22" si="5">B16+B19+B20+B21</f>
        <v>79.371999999999872</v>
      </c>
      <c r="C22" s="20">
        <f t="shared" ref="C22" si="6">C16+C19+C20+C21</f>
        <v>55.9</v>
      </c>
      <c r="D22" s="20">
        <f t="shared" ref="D22:E22" si="7">D16+D19+D20+D21</f>
        <v>63.2</v>
      </c>
      <c r="E22" s="20">
        <f t="shared" si="7"/>
        <v>48.2</v>
      </c>
      <c r="F22" s="20">
        <f t="shared" ref="F22:Q22" si="8">F16+F19+F20+F21</f>
        <v>69.817999999999927</v>
      </c>
      <c r="G22" s="20">
        <f t="shared" si="8"/>
        <v>46.6</v>
      </c>
      <c r="H22" s="20">
        <f t="shared" si="8"/>
        <v>60</v>
      </c>
      <c r="I22" s="20">
        <f t="shared" si="8"/>
        <v>69.099999999999994</v>
      </c>
      <c r="J22" s="20">
        <f t="shared" si="8"/>
        <v>60.999000000000002</v>
      </c>
      <c r="K22" s="20">
        <f t="shared" si="8"/>
        <v>39.9</v>
      </c>
      <c r="L22" s="20">
        <v>68</v>
      </c>
      <c r="M22" s="20">
        <f t="shared" si="8"/>
        <v>59.7</v>
      </c>
      <c r="N22" s="20">
        <f t="shared" si="8"/>
        <v>65.223999999999904</v>
      </c>
      <c r="O22" s="20">
        <f t="shared" si="8"/>
        <v>38</v>
      </c>
      <c r="P22" s="20">
        <f t="shared" si="8"/>
        <v>47</v>
      </c>
      <c r="Q22" s="20">
        <f t="shared" si="8"/>
        <v>59</v>
      </c>
    </row>
    <row r="23" spans="1:17" s="22" customFormat="1" x14ac:dyDescent="0.2">
      <c r="B23" s="20"/>
      <c r="C23" s="20"/>
      <c r="D23" s="20"/>
      <c r="E23" s="20"/>
      <c r="F23" s="20"/>
      <c r="G23" s="20"/>
      <c r="H23" s="20"/>
      <c r="I23" s="20"/>
      <c r="J23" s="20"/>
      <c r="K23" s="20"/>
      <c r="L23" s="20"/>
      <c r="M23" s="20"/>
      <c r="N23" s="20"/>
      <c r="O23" s="20"/>
      <c r="P23" s="20"/>
      <c r="Q23" s="20"/>
    </row>
    <row r="24" spans="1:17" s="22" customFormat="1" x14ac:dyDescent="0.2">
      <c r="A24" s="22" t="s">
        <v>27</v>
      </c>
      <c r="B24" s="20">
        <f t="shared" ref="B24:N24" si="9">SUM(B22:E22)</f>
        <v>246.67199999999985</v>
      </c>
      <c r="C24" s="20">
        <f t="shared" si="9"/>
        <v>237.11799999999994</v>
      </c>
      <c r="D24" s="20">
        <f t="shared" si="9"/>
        <v>227.81799999999993</v>
      </c>
      <c r="E24" s="20">
        <f t="shared" si="9"/>
        <v>224.61799999999994</v>
      </c>
      <c r="F24" s="20">
        <f t="shared" si="9"/>
        <v>245.51799999999992</v>
      </c>
      <c r="G24" s="20">
        <f t="shared" si="9"/>
        <v>236.69899999999998</v>
      </c>
      <c r="H24" s="20">
        <f t="shared" si="9"/>
        <v>229.999</v>
      </c>
      <c r="I24" s="20">
        <f t="shared" si="9"/>
        <v>237.999</v>
      </c>
      <c r="J24" s="20">
        <f t="shared" si="9"/>
        <v>228.59899999999999</v>
      </c>
      <c r="K24" s="20">
        <f t="shared" si="9"/>
        <v>232.82399999999993</v>
      </c>
      <c r="L24" s="20">
        <f t="shared" si="9"/>
        <v>230.92399999999992</v>
      </c>
      <c r="M24" s="20">
        <f t="shared" si="9"/>
        <v>209.92399999999992</v>
      </c>
      <c r="N24" s="20">
        <f t="shared" si="9"/>
        <v>209.2239999999999</v>
      </c>
      <c r="O24" s="12">
        <v>221</v>
      </c>
      <c r="P24" s="20"/>
      <c r="Q24" s="20"/>
    </row>
    <row r="25" spans="1:17"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c r="Q25" s="27"/>
    </row>
    <row r="26" spans="1:17"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c r="Q26" s="21"/>
    </row>
    <row r="27" spans="1:17" s="24" customFormat="1" x14ac:dyDescent="0.2">
      <c r="A27" s="22" t="s">
        <v>24</v>
      </c>
      <c r="B27" s="20">
        <f t="shared" ref="B27:C27" si="10">B24+B25+B26</f>
        <v>246.67199999999985</v>
      </c>
      <c r="C27" s="20">
        <f t="shared" si="10"/>
        <v>237.11799999999994</v>
      </c>
      <c r="D27" s="20">
        <f t="shared" ref="D27:E27" si="11">D24+D25+D26</f>
        <v>227.81799999999993</v>
      </c>
      <c r="E27" s="20">
        <f t="shared" si="11"/>
        <v>224.61799999999994</v>
      </c>
      <c r="F27" s="20">
        <f t="shared" ref="F27:G27" si="12">F24+F25+F26</f>
        <v>245.51799999999992</v>
      </c>
      <c r="G27" s="20">
        <f t="shared" si="12"/>
        <v>236.69899999999998</v>
      </c>
      <c r="H27" s="20">
        <f t="shared" ref="H27:I27" si="13">H24+H25+H26</f>
        <v>229.999</v>
      </c>
      <c r="I27" s="20">
        <f t="shared" si="13"/>
        <v>237.999</v>
      </c>
      <c r="J27" s="20">
        <f t="shared" ref="J27:O27" si="14">J24+J25+J26</f>
        <v>228.59899999999999</v>
      </c>
      <c r="K27" s="20">
        <f t="shared" si="14"/>
        <v>232.82399999999993</v>
      </c>
      <c r="L27" s="20">
        <f t="shared" si="14"/>
        <v>230.92399999999992</v>
      </c>
      <c r="M27" s="20">
        <f t="shared" si="14"/>
        <v>209.92399999999992</v>
      </c>
      <c r="N27" s="20">
        <f t="shared" si="14"/>
        <v>209.2239999999999</v>
      </c>
      <c r="O27" s="20">
        <f t="shared" si="14"/>
        <v>221</v>
      </c>
      <c r="P27" s="20"/>
      <c r="Q27" s="20"/>
    </row>
    <row r="28" spans="1:17" s="23" customFormat="1" x14ac:dyDescent="0.2"/>
    <row r="29" spans="1:17" s="22" customFormat="1" x14ac:dyDescent="0.2">
      <c r="A29" s="22" t="s">
        <v>23</v>
      </c>
      <c r="B29" s="20">
        <f t="shared" ref="B29:C29" si="15">B22</f>
        <v>79.371999999999872</v>
      </c>
      <c r="C29" s="20">
        <f t="shared" si="15"/>
        <v>55.9</v>
      </c>
      <c r="D29" s="20">
        <f t="shared" ref="D29:E29" si="16">D22</f>
        <v>63.2</v>
      </c>
      <c r="E29" s="20">
        <f t="shared" si="16"/>
        <v>48.2</v>
      </c>
      <c r="F29" s="20">
        <f t="shared" ref="F29:G29" si="17">F22</f>
        <v>69.817999999999927</v>
      </c>
      <c r="G29" s="20">
        <f t="shared" si="17"/>
        <v>46.6</v>
      </c>
      <c r="H29" s="20">
        <f t="shared" ref="H29:N29" si="18">H22</f>
        <v>60</v>
      </c>
      <c r="I29" s="20">
        <f t="shared" si="18"/>
        <v>69.099999999999994</v>
      </c>
      <c r="J29" s="20">
        <f t="shared" si="18"/>
        <v>60.999000000000002</v>
      </c>
      <c r="K29" s="20">
        <f t="shared" si="18"/>
        <v>39.9</v>
      </c>
      <c r="L29" s="20">
        <f t="shared" si="18"/>
        <v>68</v>
      </c>
      <c r="M29" s="20">
        <f t="shared" si="18"/>
        <v>59.7</v>
      </c>
      <c r="N29" s="20">
        <f t="shared" si="18"/>
        <v>65.223999999999904</v>
      </c>
      <c r="O29" s="20">
        <f t="shared" ref="O29:Q29" si="19">O22</f>
        <v>38</v>
      </c>
      <c r="P29" s="20">
        <f t="shared" si="19"/>
        <v>47</v>
      </c>
      <c r="Q29" s="20">
        <f t="shared" si="19"/>
        <v>59</v>
      </c>
    </row>
    <row r="30" spans="1:17" s="11" customFormat="1" x14ac:dyDescent="0.2">
      <c r="A30" s="19" t="s">
        <v>22</v>
      </c>
      <c r="B30" s="19">
        <v>-18.629999999999995</v>
      </c>
      <c r="C30" s="19">
        <v>-18.099</v>
      </c>
      <c r="D30" s="19">
        <v>-18.145999999999997</v>
      </c>
      <c r="E30" s="19">
        <v>-20.137</v>
      </c>
      <c r="F30" s="19">
        <v>-19.040999999999997</v>
      </c>
      <c r="G30" s="19">
        <v>-19.04</v>
      </c>
      <c r="H30" s="19">
        <v>-18.657</v>
      </c>
      <c r="I30" s="19">
        <v>-17.059000000000001</v>
      </c>
      <c r="J30" s="19">
        <v>-20.045999999999992</v>
      </c>
      <c r="K30" s="19">
        <v>-19.558</v>
      </c>
      <c r="L30" s="19">
        <v>-18.468</v>
      </c>
      <c r="M30" s="19">
        <v>-20.76</v>
      </c>
      <c r="N30" s="19">
        <v>-13.272999999999996</v>
      </c>
      <c r="O30" s="19">
        <v>-13.002000000000001</v>
      </c>
      <c r="P30" s="19">
        <v>-13.284000000000001</v>
      </c>
      <c r="Q30" s="19">
        <v>-12.582000000000001</v>
      </c>
    </row>
    <row r="31" spans="1:17" s="11" customFormat="1" x14ac:dyDescent="0.2">
      <c r="A31" s="19" t="s">
        <v>21</v>
      </c>
      <c r="B31" s="19">
        <v>-10.184000000000001</v>
      </c>
      <c r="C31" s="19">
        <v>11.038</v>
      </c>
      <c r="D31" s="19">
        <v>3.7829999999999999</v>
      </c>
      <c r="E31" s="19">
        <v>4.2460000000000004</v>
      </c>
      <c r="F31" s="19">
        <v>-11.085000000000001</v>
      </c>
      <c r="G31" s="19">
        <v>4.1550000000000002</v>
      </c>
      <c r="H31" s="19">
        <v>-5.3719999999999999</v>
      </c>
      <c r="I31" s="19">
        <v>-8.8049999999999997</v>
      </c>
      <c r="J31" s="19">
        <v>-22.936999999999998</v>
      </c>
      <c r="K31" s="19">
        <v>16.065999999999999</v>
      </c>
      <c r="L31" s="19">
        <v>4.5609999999999999</v>
      </c>
      <c r="M31" s="19">
        <v>1.6559999999999988</v>
      </c>
      <c r="N31" s="19">
        <v>-23.774999999999999</v>
      </c>
      <c r="O31" s="19">
        <v>0.59299999999999997</v>
      </c>
      <c r="P31" s="19">
        <v>-2.669</v>
      </c>
      <c r="Q31" s="19">
        <v>-7.9850000000000003</v>
      </c>
    </row>
    <row r="32" spans="1:17" s="11" customFormat="1" x14ac:dyDescent="0.2">
      <c r="A32" s="19" t="s">
        <v>20</v>
      </c>
      <c r="B32" s="19">
        <v>42.25200000000001</v>
      </c>
      <c r="C32" s="19">
        <v>-54.975999999999992</v>
      </c>
      <c r="D32" s="19">
        <v>-13.796000000000006</v>
      </c>
      <c r="E32" s="19">
        <v>-49.746000000000002</v>
      </c>
      <c r="F32" s="19">
        <v>63.807999999999979</v>
      </c>
      <c r="G32" s="19">
        <v>-74.97399999999999</v>
      </c>
      <c r="H32" s="19">
        <v>-32.302999999999997</v>
      </c>
      <c r="I32" s="19">
        <v>-28.482000000000003</v>
      </c>
      <c r="J32" s="19">
        <v>106.64399999999999</v>
      </c>
      <c r="K32" s="19">
        <v>-40.207999999999984</v>
      </c>
      <c r="L32" s="19">
        <v>-46.826999999999998</v>
      </c>
      <c r="M32" s="19">
        <v>-9.3809999999999985</v>
      </c>
      <c r="N32" s="19">
        <v>78.162999999999982</v>
      </c>
      <c r="O32" s="19">
        <v>-38.231999999999985</v>
      </c>
      <c r="P32" s="19">
        <v>1.4159999999999933</v>
      </c>
      <c r="Q32" s="19">
        <v>-16.748999999999995</v>
      </c>
    </row>
    <row r="33" spans="1:17" s="11" customFormat="1" x14ac:dyDescent="0.2">
      <c r="A33" s="19" t="s">
        <v>19</v>
      </c>
      <c r="B33" s="19">
        <f t="shared" ref="B33" si="20">-B19-B20-B21</f>
        <v>-0.95599999999996754</v>
      </c>
      <c r="C33" s="19">
        <f t="shared" ref="C33" si="21">-C19-C20-C21</f>
        <v>-1.3510000000000346</v>
      </c>
      <c r="D33" s="19">
        <f t="shared" ref="D33:F33" si="22">-D19-D20-D21</f>
        <v>-3.1839999999999975</v>
      </c>
      <c r="E33" s="19">
        <f t="shared" si="22"/>
        <v>-10.415000000000006</v>
      </c>
      <c r="F33" s="19">
        <f t="shared" si="22"/>
        <v>-4.727000000000011</v>
      </c>
      <c r="G33" s="19">
        <f t="shared" ref="G33:Q33" si="23">-G19-G20-G21</f>
        <v>-16.735999999999969</v>
      </c>
      <c r="H33" s="19">
        <f t="shared" si="23"/>
        <v>-5.419000000000004</v>
      </c>
      <c r="I33" s="19">
        <f t="shared" si="23"/>
        <v>-12.049999999999947</v>
      </c>
      <c r="J33" s="19">
        <f t="shared" si="23"/>
        <v>2.2810000000000343</v>
      </c>
      <c r="K33" s="19">
        <f t="shared" si="23"/>
        <v>-19.332999999999977</v>
      </c>
      <c r="L33" s="19">
        <f t="shared" si="23"/>
        <v>-28.065999999999974</v>
      </c>
      <c r="M33" s="19">
        <f t="shared" si="23"/>
        <v>-154.41800000000003</v>
      </c>
      <c r="N33" s="19">
        <f t="shared" si="23"/>
        <v>6.5219999999999771</v>
      </c>
      <c r="O33" s="19">
        <f t="shared" si="23"/>
        <v>-12.456000000000007</v>
      </c>
      <c r="P33" s="19">
        <f t="shared" si="23"/>
        <v>-11.979999999999983</v>
      </c>
      <c r="Q33" s="19">
        <f t="shared" si="23"/>
        <v>-10.269000000000005</v>
      </c>
    </row>
    <row r="34" spans="1:17" s="11" customFormat="1" x14ac:dyDescent="0.2">
      <c r="A34" s="19" t="s">
        <v>18</v>
      </c>
      <c r="B34" s="21">
        <f t="shared" ref="B34" si="24">B35-B29-B30-B31-B32-B33</f>
        <v>16.239000000000082</v>
      </c>
      <c r="C34" s="21">
        <f t="shared" ref="C34" si="25">C35-C29-C30-C31-C32-C33</f>
        <v>-5.2019999999999698</v>
      </c>
      <c r="D34" s="21">
        <f t="shared" ref="D34:F34" si="26">D35-D29-D30-D31-D32-D33</f>
        <v>-3.8919999999999995</v>
      </c>
      <c r="E34" s="21">
        <f t="shared" si="26"/>
        <v>22.292000000000002</v>
      </c>
      <c r="F34" s="21">
        <f t="shared" si="26"/>
        <v>7.5420000000001082</v>
      </c>
      <c r="G34" s="21">
        <f t="shared" ref="G34:Q34" si="27">G35-G29-G30-G31-G32-G33</f>
        <v>11.017999999999951</v>
      </c>
      <c r="H34" s="21">
        <f t="shared" si="27"/>
        <v>5.1160000000000068</v>
      </c>
      <c r="I34" s="21">
        <f t="shared" si="27"/>
        <v>5.9669999999999597</v>
      </c>
      <c r="J34" s="21">
        <f t="shared" si="27"/>
        <v>-2.9510000000000218</v>
      </c>
      <c r="K34" s="21">
        <f t="shared" si="27"/>
        <v>-8.8880000000000265</v>
      </c>
      <c r="L34" s="21">
        <f t="shared" si="27"/>
        <v>30.144999999999975</v>
      </c>
      <c r="M34" s="21">
        <f t="shared" si="27"/>
        <v>42.789000000000044</v>
      </c>
      <c r="N34" s="21">
        <f t="shared" si="27"/>
        <v>31.427000000000149</v>
      </c>
      <c r="O34" s="21">
        <f t="shared" si="27"/>
        <v>1.3030000000000008</v>
      </c>
      <c r="P34" s="21">
        <f t="shared" si="27"/>
        <v>7.7229999999999936</v>
      </c>
      <c r="Q34" s="21">
        <f t="shared" si="27"/>
        <v>3.6409999999999982</v>
      </c>
    </row>
    <row r="35" spans="1:17" s="20" customFormat="1" x14ac:dyDescent="0.2">
      <c r="A35" s="20" t="s">
        <v>17</v>
      </c>
      <c r="B35" s="20">
        <v>108.093</v>
      </c>
      <c r="C35" s="20">
        <v>-12.690000000000001</v>
      </c>
      <c r="D35" s="20">
        <v>27.965</v>
      </c>
      <c r="E35" s="20">
        <v>-5.56</v>
      </c>
      <c r="F35" s="20">
        <v>106.315</v>
      </c>
      <c r="G35" s="20">
        <v>-48.977000000000004</v>
      </c>
      <c r="H35" s="20">
        <v>3.3650000000000002</v>
      </c>
      <c r="I35" s="20">
        <v>8.6709999999999994</v>
      </c>
      <c r="J35" s="20">
        <v>123.99000000000001</v>
      </c>
      <c r="K35" s="20">
        <v>-32.021000000000001</v>
      </c>
      <c r="L35" s="20">
        <v>9.3449999999999989</v>
      </c>
      <c r="M35" s="20">
        <v>-80.414000000000001</v>
      </c>
      <c r="N35" s="20">
        <v>144.28800000000001</v>
      </c>
      <c r="O35" s="20">
        <v>-23.794</v>
      </c>
      <c r="P35" s="20">
        <v>28.206000000000003</v>
      </c>
      <c r="Q35" s="20">
        <v>15.055999999999999</v>
      </c>
    </row>
    <row r="36" spans="1:17" s="11" customFormat="1" x14ac:dyDescent="0.2">
      <c r="A36" s="19" t="s">
        <v>16</v>
      </c>
      <c r="B36" s="21">
        <v>-5.9320000000000004</v>
      </c>
      <c r="C36" s="21">
        <v>-4.9050000000000002</v>
      </c>
      <c r="D36" s="21">
        <v>-1.5500000000000003</v>
      </c>
      <c r="E36" s="21">
        <v>-2.1019999999999999</v>
      </c>
      <c r="F36" s="21">
        <v>-15.895000000000001</v>
      </c>
      <c r="G36" s="21">
        <v>-3.9169999999999998</v>
      </c>
      <c r="H36" s="21">
        <v>-3.4469999999999996</v>
      </c>
      <c r="I36" s="21">
        <v>-2.605</v>
      </c>
      <c r="J36" s="21">
        <v>-11.883000000000003</v>
      </c>
      <c r="K36" s="21">
        <v>-6.2209999999999983</v>
      </c>
      <c r="L36" s="21">
        <v>-5.8870000000000005</v>
      </c>
      <c r="M36" s="21">
        <v>-7.516</v>
      </c>
      <c r="N36" s="21">
        <v>-13.256</v>
      </c>
      <c r="O36" s="21">
        <v>-12.809999999999999</v>
      </c>
      <c r="P36" s="21">
        <v>-11.873000000000001</v>
      </c>
      <c r="Q36" s="21">
        <v>-10.439</v>
      </c>
    </row>
    <row r="37" spans="1:17" s="20" customFormat="1" x14ac:dyDescent="0.2">
      <c r="A37" s="20" t="s">
        <v>15</v>
      </c>
      <c r="B37" s="20">
        <f t="shared" ref="B37:Q37" si="28">+B35+B36</f>
        <v>102.161</v>
      </c>
      <c r="C37" s="20">
        <f t="shared" si="28"/>
        <v>-17.595000000000002</v>
      </c>
      <c r="D37" s="20">
        <f t="shared" si="28"/>
        <v>26.414999999999999</v>
      </c>
      <c r="E37" s="20">
        <f t="shared" si="28"/>
        <v>-7.661999999999999</v>
      </c>
      <c r="F37" s="20">
        <f t="shared" si="28"/>
        <v>90.42</v>
      </c>
      <c r="G37" s="20">
        <f t="shared" si="28"/>
        <v>-52.894000000000005</v>
      </c>
      <c r="H37" s="20">
        <f t="shared" si="28"/>
        <v>-8.1999999999999407E-2</v>
      </c>
      <c r="I37" s="20">
        <f t="shared" si="28"/>
        <v>6.0659999999999989</v>
      </c>
      <c r="J37" s="20">
        <f t="shared" si="28"/>
        <v>112.107</v>
      </c>
      <c r="K37" s="20">
        <f t="shared" si="28"/>
        <v>-38.241999999999997</v>
      </c>
      <c r="L37" s="20">
        <f t="shared" si="28"/>
        <v>3.4579999999999984</v>
      </c>
      <c r="M37" s="20">
        <f t="shared" si="28"/>
        <v>-87.93</v>
      </c>
      <c r="N37" s="20">
        <f t="shared" si="28"/>
        <v>131.03200000000001</v>
      </c>
      <c r="O37" s="20">
        <f t="shared" si="28"/>
        <v>-36.603999999999999</v>
      </c>
      <c r="P37" s="20">
        <f t="shared" si="28"/>
        <v>16.333000000000002</v>
      </c>
      <c r="Q37" s="20">
        <f t="shared" si="28"/>
        <v>4.6169999999999991</v>
      </c>
    </row>
    <row r="39" spans="1:17" s="16" customFormat="1" x14ac:dyDescent="0.2">
      <c r="A39" s="18" t="s">
        <v>14</v>
      </c>
      <c r="B39" s="19">
        <v>0</v>
      </c>
      <c r="C39" s="19">
        <v>0</v>
      </c>
      <c r="D39" s="19">
        <v>0</v>
      </c>
      <c r="E39" s="19">
        <v>20</v>
      </c>
      <c r="F39" s="19">
        <v>250</v>
      </c>
      <c r="G39" s="19">
        <v>6.65</v>
      </c>
      <c r="H39" s="19">
        <v>0</v>
      </c>
      <c r="I39" s="19">
        <v>0</v>
      </c>
      <c r="J39" s="19">
        <v>0</v>
      </c>
      <c r="K39" s="19">
        <v>30</v>
      </c>
      <c r="L39" s="19">
        <v>15</v>
      </c>
      <c r="M39" s="19">
        <v>17.3</v>
      </c>
      <c r="N39" s="19"/>
      <c r="O39" s="19">
        <v>0</v>
      </c>
      <c r="P39" s="19"/>
      <c r="Q39" s="19"/>
    </row>
    <row r="40" spans="1:17" s="16" customFormat="1" x14ac:dyDescent="0.2">
      <c r="A40" s="18" t="s">
        <v>13</v>
      </c>
      <c r="B40" s="19">
        <v>396.07499999999999</v>
      </c>
      <c r="C40" s="19">
        <v>431.42500000000001</v>
      </c>
      <c r="D40" s="19">
        <v>439.42500000000001</v>
      </c>
      <c r="E40" s="19">
        <v>447.6</v>
      </c>
      <c r="F40" s="19">
        <v>457.77499999999998</v>
      </c>
      <c r="G40" s="19">
        <v>462.95</v>
      </c>
      <c r="H40" s="19">
        <v>464.125</v>
      </c>
      <c r="I40" s="19">
        <v>465.3</v>
      </c>
      <c r="J40" s="19">
        <v>466.47500000000002</v>
      </c>
      <c r="K40" s="19">
        <v>468.82499999999999</v>
      </c>
      <c r="L40" s="19">
        <v>470</v>
      </c>
      <c r="M40" s="19">
        <v>470</v>
      </c>
      <c r="N40" s="19"/>
      <c r="O40" s="19">
        <v>445</v>
      </c>
      <c r="P40" s="19"/>
      <c r="Q40" s="19"/>
    </row>
    <row r="41" spans="1:17" s="16" customFormat="1" x14ac:dyDescent="0.2">
      <c r="A41" s="18" t="s">
        <v>12</v>
      </c>
      <c r="B41" s="19">
        <f>B39+B40+283.303</f>
        <v>679.37799999999993</v>
      </c>
      <c r="C41" s="19">
        <f>C39+C40+283.303</f>
        <v>714.72800000000007</v>
      </c>
      <c r="D41" s="19">
        <f>D39+D40+283.303</f>
        <v>722.72800000000007</v>
      </c>
      <c r="E41" s="19">
        <f>E39+E40+283.303</f>
        <v>750.90300000000002</v>
      </c>
      <c r="F41" s="19">
        <f>F39+F40+283.303</f>
        <v>991.07799999999997</v>
      </c>
      <c r="G41" s="19">
        <f>G39+G40+282.5+0.622+0.181</f>
        <v>752.90299999999991</v>
      </c>
      <c r="H41" s="19">
        <f>H39+H40+282.5+0.622+0.181</f>
        <v>747.428</v>
      </c>
      <c r="I41" s="19">
        <f>I39+I40+283.3</f>
        <v>748.6</v>
      </c>
      <c r="J41" s="19">
        <f>466.475+282.5+17.875+0.181</f>
        <v>767.03100000000006</v>
      </c>
      <c r="K41" s="19">
        <f>K39+K40+282.5+17.875+0.181</f>
        <v>799.38100000000009</v>
      </c>
      <c r="L41" s="19">
        <f>L39+L40+282.5+17.875+0.181</f>
        <v>785.55600000000004</v>
      </c>
      <c r="M41" s="19">
        <f>M39+M40+282.5+17.875+0.181</f>
        <v>787.85599999999999</v>
      </c>
      <c r="N41" s="19">
        <v>685.18100000000004</v>
      </c>
      <c r="O41" s="19">
        <v>770</v>
      </c>
      <c r="P41" s="19"/>
      <c r="Q41" s="19"/>
    </row>
    <row r="42" spans="1:17" s="16" customFormat="1" x14ac:dyDescent="0.2">
      <c r="A42" s="18" t="s">
        <v>11</v>
      </c>
      <c r="B42" s="17">
        <v>340</v>
      </c>
      <c r="C42" s="17">
        <v>340</v>
      </c>
      <c r="D42" s="17">
        <v>340</v>
      </c>
      <c r="E42" s="17">
        <v>340</v>
      </c>
      <c r="F42" s="17">
        <v>340</v>
      </c>
      <c r="G42" s="17">
        <v>340</v>
      </c>
      <c r="H42" s="17">
        <v>340</v>
      </c>
      <c r="I42" s="17">
        <v>340</v>
      </c>
      <c r="J42" s="17">
        <v>340</v>
      </c>
      <c r="K42" s="17">
        <v>340</v>
      </c>
      <c r="L42" s="17">
        <v>340</v>
      </c>
      <c r="M42" s="17">
        <v>340</v>
      </c>
      <c r="N42" s="17">
        <v>340</v>
      </c>
      <c r="O42" s="17">
        <v>340</v>
      </c>
      <c r="P42" s="17"/>
      <c r="Q42" s="17"/>
    </row>
    <row r="43" spans="1:17" x14ac:dyDescent="0.2">
      <c r="B43" s="16"/>
      <c r="C43" s="16"/>
      <c r="D43" s="16"/>
      <c r="E43" s="16"/>
      <c r="F43" s="16"/>
      <c r="G43" s="16"/>
      <c r="H43" s="16"/>
      <c r="I43" s="16"/>
      <c r="J43" s="16"/>
      <c r="K43" s="16"/>
      <c r="L43" s="16"/>
      <c r="M43" s="16"/>
      <c r="N43" s="16"/>
      <c r="O43" s="16"/>
      <c r="P43" s="16"/>
      <c r="Q43" s="16"/>
    </row>
    <row r="44" spans="1:17" x14ac:dyDescent="0.2">
      <c r="A44" s="15" t="s">
        <v>10</v>
      </c>
      <c r="B44" s="27">
        <v>55.201999999999998</v>
      </c>
      <c r="C44" s="27">
        <v>14.112</v>
      </c>
      <c r="D44" s="27">
        <v>28.07</v>
      </c>
      <c r="E44" s="27">
        <v>37.99</v>
      </c>
      <c r="F44" s="27">
        <v>42.593000000000004</v>
      </c>
      <c r="G44" s="27">
        <v>12.35</v>
      </c>
      <c r="H44" s="27">
        <v>34.149000000000001</v>
      </c>
      <c r="I44" s="27">
        <v>37.79</v>
      </c>
      <c r="J44" s="27">
        <v>59.412999999999997</v>
      </c>
      <c r="K44" s="27">
        <v>13.868</v>
      </c>
      <c r="L44" s="27">
        <v>25.649000000000001</v>
      </c>
      <c r="M44" s="27">
        <v>33.161999999999999</v>
      </c>
      <c r="N44" s="27">
        <v>146.428</v>
      </c>
      <c r="O44" s="27">
        <v>0</v>
      </c>
      <c r="P44" s="27"/>
      <c r="Q44" s="27"/>
    </row>
    <row r="46" spans="1:17" x14ac:dyDescent="0.2">
      <c r="A46" s="1" t="s">
        <v>9</v>
      </c>
      <c r="B46" s="13">
        <f t="shared" ref="B46:N46" si="29">SUM(B12:E12)</f>
        <v>1075.5</v>
      </c>
      <c r="C46" s="13">
        <f t="shared" si="29"/>
        <v>1081.6089999999999</v>
      </c>
      <c r="D46" s="13">
        <f t="shared" si="29"/>
        <v>1101.2949999999998</v>
      </c>
      <c r="E46" s="13">
        <f t="shared" si="29"/>
        <v>1118.2089999999998</v>
      </c>
      <c r="F46" s="13">
        <f t="shared" si="29"/>
        <v>1240.7859999999998</v>
      </c>
      <c r="G46" s="13">
        <f t="shared" si="29"/>
        <v>1297.4170000000001</v>
      </c>
      <c r="H46" s="13">
        <f t="shared" si="29"/>
        <v>1350.9430000000002</v>
      </c>
      <c r="I46" s="13">
        <f t="shared" si="29"/>
        <v>1417.6730000000002</v>
      </c>
      <c r="J46" s="13">
        <f t="shared" si="29"/>
        <v>1466.6920000000002</v>
      </c>
      <c r="K46" s="13">
        <f t="shared" si="29"/>
        <v>1615.18</v>
      </c>
      <c r="L46" s="13">
        <f t="shared" si="29"/>
        <v>1687.885</v>
      </c>
      <c r="M46" s="13">
        <f t="shared" si="29"/>
        <v>1730.2730000000001</v>
      </c>
      <c r="N46" s="13">
        <f t="shared" si="29"/>
        <v>1770.1819999999998</v>
      </c>
      <c r="O46" s="12">
        <v>1544.4</v>
      </c>
      <c r="P46" s="11"/>
      <c r="Q46" s="11"/>
    </row>
    <row r="47" spans="1:17" x14ac:dyDescent="0.2">
      <c r="A47" s="1" t="s">
        <v>8</v>
      </c>
      <c r="B47" s="13">
        <f t="shared" ref="B47:C47" si="30">B27</f>
        <v>246.67199999999985</v>
      </c>
      <c r="C47" s="13">
        <f t="shared" si="30"/>
        <v>237.11799999999994</v>
      </c>
      <c r="D47" s="13">
        <f t="shared" ref="D47:E47" si="31">D27</f>
        <v>227.81799999999993</v>
      </c>
      <c r="E47" s="13">
        <f t="shared" si="31"/>
        <v>224.61799999999994</v>
      </c>
      <c r="F47" s="13">
        <f t="shared" ref="F47:G47" si="32">F27</f>
        <v>245.51799999999992</v>
      </c>
      <c r="G47" s="13">
        <f t="shared" si="32"/>
        <v>236.69899999999998</v>
      </c>
      <c r="H47" s="13">
        <f t="shared" ref="H47:I47" si="33">H27</f>
        <v>229.999</v>
      </c>
      <c r="I47" s="13">
        <f t="shared" si="33"/>
        <v>237.999</v>
      </c>
      <c r="J47" s="13">
        <f t="shared" ref="J47:O47" si="34">J27</f>
        <v>228.59899999999999</v>
      </c>
      <c r="K47" s="13">
        <f t="shared" si="34"/>
        <v>232.82399999999993</v>
      </c>
      <c r="L47" s="13">
        <f t="shared" si="34"/>
        <v>230.92399999999992</v>
      </c>
      <c r="M47" s="13">
        <f t="shared" si="34"/>
        <v>209.92399999999992</v>
      </c>
      <c r="N47" s="13">
        <f t="shared" si="34"/>
        <v>209.2239999999999</v>
      </c>
      <c r="O47" s="13">
        <f t="shared" si="34"/>
        <v>221</v>
      </c>
      <c r="P47" s="11"/>
      <c r="Q47" s="11"/>
    </row>
    <row r="48" spans="1:17" x14ac:dyDescent="0.2">
      <c r="A48" s="1" t="s">
        <v>7</v>
      </c>
      <c r="B48" s="13">
        <f t="shared" ref="B48:J48" si="35">SUM(B37:E37)</f>
        <v>103.31899999999999</v>
      </c>
      <c r="C48" s="13">
        <f t="shared" si="35"/>
        <v>91.578000000000003</v>
      </c>
      <c r="D48" s="13">
        <f t="shared" si="35"/>
        <v>56.278999999999996</v>
      </c>
      <c r="E48" s="13">
        <f t="shared" si="35"/>
        <v>29.782000000000004</v>
      </c>
      <c r="F48" s="13">
        <f t="shared" si="35"/>
        <v>43.509999999999991</v>
      </c>
      <c r="G48" s="13">
        <f t="shared" si="35"/>
        <v>65.196999999999989</v>
      </c>
      <c r="H48" s="13">
        <f t="shared" si="35"/>
        <v>79.84899999999999</v>
      </c>
      <c r="I48" s="13">
        <f t="shared" si="35"/>
        <v>83.38900000000001</v>
      </c>
      <c r="J48" s="13">
        <f t="shared" si="35"/>
        <v>-10.606999999999999</v>
      </c>
      <c r="K48" s="13">
        <f>L48+K37-O37</f>
        <v>8.3179999999999943</v>
      </c>
      <c r="L48" s="13">
        <f>M48+L37-P37</f>
        <v>9.9559999999999924</v>
      </c>
      <c r="M48" s="13">
        <f>N48+M37-Q37</f>
        <v>22.830999999999996</v>
      </c>
      <c r="N48" s="12">
        <v>115.378</v>
      </c>
      <c r="O48" s="12">
        <v>51.055299999999988</v>
      </c>
      <c r="P48" s="11"/>
      <c r="Q48" s="11"/>
    </row>
    <row r="50" spans="1:17" s="10" customFormat="1" x14ac:dyDescent="0.2">
      <c r="A50" s="10" t="s">
        <v>6</v>
      </c>
      <c r="B50" s="10">
        <f t="shared" ref="B50:C50" si="36">+SUM(B39:B40)/B47</f>
        <v>1.6056747421677378</v>
      </c>
      <c r="C50" s="10">
        <f t="shared" si="36"/>
        <v>1.8194527619160086</v>
      </c>
      <c r="D50" s="10">
        <f t="shared" ref="D50:E50" si="37">+SUM(D39:D40)/D47</f>
        <v>1.9288423215022525</v>
      </c>
      <c r="E50" s="10">
        <f t="shared" si="37"/>
        <v>2.0817565822863715</v>
      </c>
      <c r="F50" s="10">
        <f t="shared" ref="F50:G50" si="38">+SUM(F39:F40)/F47</f>
        <v>2.882782525110176</v>
      </c>
      <c r="G50" s="10">
        <f t="shared" si="38"/>
        <v>1.9839543048344099</v>
      </c>
      <c r="H50" s="10">
        <f t="shared" ref="H50:M50" si="39">+SUM(H39:H40)/H47</f>
        <v>2.0179435562763315</v>
      </c>
      <c r="I50" s="10">
        <f t="shared" si="39"/>
        <v>1.955050231303493</v>
      </c>
      <c r="J50" s="10">
        <f t="shared" si="39"/>
        <v>2.0405819797986871</v>
      </c>
      <c r="K50" s="10">
        <f t="shared" si="39"/>
        <v>2.1424981960622622</v>
      </c>
      <c r="L50" s="10">
        <f t="shared" si="39"/>
        <v>2.1002580935719117</v>
      </c>
      <c r="M50" s="10">
        <f t="shared" si="39"/>
        <v>2.3213162858939436</v>
      </c>
      <c r="N50" s="76" t="s">
        <v>83</v>
      </c>
      <c r="O50" s="10">
        <f>+SUM(O39:O40)/O47</f>
        <v>2.0135746606334841</v>
      </c>
    </row>
    <row r="51" spans="1:17" s="10" customFormat="1" x14ac:dyDescent="0.2">
      <c r="A51" s="10" t="s">
        <v>5</v>
      </c>
      <c r="B51" s="10">
        <f t="shared" ref="B51:C51" si="40">+B41/B47</f>
        <v>2.7541755853927494</v>
      </c>
      <c r="C51" s="10">
        <f t="shared" si="40"/>
        <v>3.0142292023380777</v>
      </c>
      <c r="D51" s="10">
        <f t="shared" ref="D51:E51" si="41">+D41/D47</f>
        <v>3.1723919971205099</v>
      </c>
      <c r="E51" s="10">
        <f t="shared" si="41"/>
        <v>3.3430223757668585</v>
      </c>
      <c r="F51" s="10">
        <f t="shared" ref="F51:G51" si="42">+F41/F47</f>
        <v>4.0366816282309257</v>
      </c>
      <c r="G51" s="10">
        <f t="shared" si="42"/>
        <v>3.1808457154445096</v>
      </c>
      <c r="H51" s="10">
        <f t="shared" ref="H51:I51" si="43">+H41/H47</f>
        <v>3.2497010856568944</v>
      </c>
      <c r="I51" s="10">
        <f t="shared" si="43"/>
        <v>3.1453913671906184</v>
      </c>
      <c r="J51" s="10">
        <f t="shared" ref="J51:O51" si="44">+J41/J47</f>
        <v>3.3553558851963485</v>
      </c>
      <c r="K51" s="10">
        <f t="shared" si="44"/>
        <v>3.4334132220046056</v>
      </c>
      <c r="L51" s="10">
        <f t="shared" si="44"/>
        <v>3.401794529802014</v>
      </c>
      <c r="M51" s="10">
        <f t="shared" si="44"/>
        <v>3.7530534860235147</v>
      </c>
      <c r="N51" s="10">
        <f t="shared" si="44"/>
        <v>3.2748680839674242</v>
      </c>
      <c r="O51" s="10">
        <f t="shared" si="44"/>
        <v>3.4841628959276019</v>
      </c>
    </row>
    <row r="52" spans="1:17" s="10" customFormat="1" x14ac:dyDescent="0.2">
      <c r="A52" s="10" t="s">
        <v>4</v>
      </c>
      <c r="B52" s="10">
        <f t="shared" ref="B52:C52" si="45">+(B41-B44)/B47</f>
        <v>2.5303885321398467</v>
      </c>
      <c r="C52" s="10">
        <f t="shared" si="45"/>
        <v>2.9547145303182392</v>
      </c>
      <c r="D52" s="10">
        <f t="shared" ref="D52:E52" si="46">+(D41-D44)/D47</f>
        <v>3.0491796082838065</v>
      </c>
      <c r="E52" s="10">
        <f t="shared" si="46"/>
        <v>3.1738907834634813</v>
      </c>
      <c r="F52" s="10">
        <f t="shared" ref="F52:G52" si="47">+(F41-F44)/F47</f>
        <v>3.8631994395522948</v>
      </c>
      <c r="G52" s="10">
        <f t="shared" si="47"/>
        <v>3.1286697451193284</v>
      </c>
      <c r="H52" s="10">
        <f t="shared" ref="H52:I52" si="48">+(H41-H44)/H47</f>
        <v>3.1012265270718569</v>
      </c>
      <c r="I52" s="10">
        <f t="shared" si="48"/>
        <v>2.9866091874335607</v>
      </c>
      <c r="J52" s="10">
        <f t="shared" ref="J52:O52" si="49">+(J41-J44)/J47</f>
        <v>3.0954553606971165</v>
      </c>
      <c r="K52" s="10">
        <f t="shared" si="49"/>
        <v>3.3738489159193223</v>
      </c>
      <c r="L52" s="10">
        <f t="shared" si="49"/>
        <v>3.2907233548700017</v>
      </c>
      <c r="M52" s="10">
        <f t="shared" si="49"/>
        <v>3.5950820296869357</v>
      </c>
      <c r="N52" s="10">
        <f t="shared" si="49"/>
        <v>2.5750057354796785</v>
      </c>
      <c r="O52" s="10">
        <f t="shared" si="49"/>
        <v>3.4841628959276019</v>
      </c>
    </row>
    <row r="53" spans="1:17" s="6" customFormat="1" x14ac:dyDescent="0.2">
      <c r="A53" s="6" t="s">
        <v>3</v>
      </c>
      <c r="B53" s="6">
        <f t="shared" ref="B53:C53" si="50">+B48/B41</f>
        <v>0.15207881326742992</v>
      </c>
      <c r="C53" s="6">
        <f t="shared" si="50"/>
        <v>0.12812986198945611</v>
      </c>
      <c r="D53" s="6">
        <f t="shared" ref="D53:E53" si="51">+D48/D41</f>
        <v>7.7870236105422777E-2</v>
      </c>
      <c r="E53" s="6">
        <f t="shared" si="51"/>
        <v>3.9661580790062101E-2</v>
      </c>
      <c r="F53" s="6">
        <f t="shared" ref="F53:G53" si="52">+F48/F41</f>
        <v>4.3901690886085649E-2</v>
      </c>
      <c r="G53" s="6">
        <f t="shared" si="52"/>
        <v>8.6594156219327048E-2</v>
      </c>
      <c r="H53" s="6">
        <f t="shared" ref="H53:I53" si="53">+H48/H41</f>
        <v>0.10683169482545475</v>
      </c>
      <c r="I53" s="6">
        <f t="shared" si="53"/>
        <v>0.11139326743254076</v>
      </c>
      <c r="J53" s="6">
        <f t="shared" ref="J53:O53" si="54">+J48/J41</f>
        <v>-1.3828645778332295E-2</v>
      </c>
      <c r="K53" s="6">
        <f t="shared" si="54"/>
        <v>1.0405551295314742E-2</v>
      </c>
      <c r="L53" s="6">
        <f t="shared" si="54"/>
        <v>1.2673825927114035E-2</v>
      </c>
      <c r="M53" s="6">
        <f t="shared" si="54"/>
        <v>2.8978645843910557E-2</v>
      </c>
      <c r="N53" s="6">
        <f t="shared" si="54"/>
        <v>0.16839054206114878</v>
      </c>
      <c r="O53" s="6">
        <f t="shared" si="54"/>
        <v>6.6305584415584401E-2</v>
      </c>
    </row>
    <row r="54" spans="1:17" s="6" customFormat="1" x14ac:dyDescent="0.2">
      <c r="A54" s="8" t="s">
        <v>2</v>
      </c>
      <c r="B54" s="9"/>
      <c r="C54" s="9"/>
      <c r="D54" s="9"/>
      <c r="E54" s="9"/>
      <c r="F54" s="9"/>
      <c r="G54" s="9"/>
      <c r="H54" s="9"/>
      <c r="I54" s="9"/>
      <c r="J54" s="9"/>
      <c r="K54" s="9"/>
      <c r="L54" s="9"/>
      <c r="M54" s="9"/>
      <c r="N54" s="9"/>
      <c r="O54" s="9"/>
      <c r="P54" s="9"/>
      <c r="Q54" s="9"/>
    </row>
    <row r="55" spans="1:17" s="6" customFormat="1" x14ac:dyDescent="0.2">
      <c r="A55" s="6" t="s">
        <v>1</v>
      </c>
      <c r="B55" s="7">
        <f t="shared" ref="B55:C55" si="55">IF(B42=0,IF(B54="","","*"&amp;TEXT(B54,"0.0x")),(B41+B42-B44)/B47)</f>
        <v>3.9087371083868478</v>
      </c>
      <c r="C55" s="7">
        <f t="shared" si="55"/>
        <v>4.3885997688914395</v>
      </c>
      <c r="D55" s="7">
        <f t="shared" ref="D55:E55" si="56">IF(D42=0,IF(D54="","","*"&amp;TEXT(D54,"0.0x")),(D41+D42-D44)/D47)</f>
        <v>4.5415989956895437</v>
      </c>
      <c r="E55" s="7">
        <f t="shared" si="56"/>
        <v>4.6875717885476691</v>
      </c>
      <c r="F55" s="7">
        <f t="shared" ref="F55:G55" si="57">IF(F42=0,IF(F54="","","*"&amp;TEXT(F54,"0.0x")),(F41+F42-F44)/F47)</f>
        <v>5.2480266212660593</v>
      </c>
      <c r="G55" s="7">
        <f t="shared" si="57"/>
        <v>4.5650932196587224</v>
      </c>
      <c r="H55" s="7">
        <f t="shared" ref="H55:I55" si="58">IF(H42=0,IF(H54="","","*"&amp;TEXT(H54,"0.0x")),(H41+H42-H44)/H47)</f>
        <v>4.5794938238861906</v>
      </c>
      <c r="I55" s="7">
        <f t="shared" si="58"/>
        <v>4.4151866184311697</v>
      </c>
      <c r="J55" s="7">
        <f t="shared" ref="J55:O55" si="59">IF(J42=0,IF(J54="","","*"&amp;TEXT(J54,"0.0x")),(J41+J42-J44)/J47)</f>
        <v>4.582775952650711</v>
      </c>
      <c r="K55" s="7">
        <f t="shared" si="59"/>
        <v>4.8341794660344313</v>
      </c>
      <c r="L55" s="7">
        <f t="shared" si="59"/>
        <v>4.7630692348997963</v>
      </c>
      <c r="M55" s="7">
        <f t="shared" si="59"/>
        <v>5.2147158019092643</v>
      </c>
      <c r="N55" s="7">
        <f t="shared" si="59"/>
        <v>4.2000583107100544</v>
      </c>
      <c r="O55" s="7">
        <f t="shared" si="59"/>
        <v>5.0226244343891402</v>
      </c>
      <c r="P55" s="7"/>
      <c r="Q55" s="7"/>
    </row>
    <row r="57" spans="1:17" ht="80.25" customHeight="1" x14ac:dyDescent="0.2">
      <c r="A57" s="5" t="s">
        <v>0</v>
      </c>
      <c r="B57" s="4" t="s">
        <v>104</v>
      </c>
      <c r="C57" s="4" t="s">
        <v>104</v>
      </c>
      <c r="D57" s="4" t="s">
        <v>104</v>
      </c>
      <c r="E57" s="4" t="s">
        <v>104</v>
      </c>
      <c r="F57" s="4" t="s">
        <v>104</v>
      </c>
      <c r="G57" s="4" t="s">
        <v>104</v>
      </c>
      <c r="H57" s="4" t="s">
        <v>104</v>
      </c>
      <c r="I57" s="4" t="s">
        <v>104</v>
      </c>
      <c r="J57" s="4" t="s">
        <v>104</v>
      </c>
      <c r="K57" s="4" t="s">
        <v>104</v>
      </c>
      <c r="L57" s="4" t="s">
        <v>104</v>
      </c>
      <c r="M57" s="4" t="s">
        <v>104</v>
      </c>
      <c r="N57" s="4" t="s">
        <v>104</v>
      </c>
      <c r="O57" s="4" t="s">
        <v>154</v>
      </c>
      <c r="P57" s="4"/>
      <c r="Q57" s="4"/>
    </row>
    <row r="58" spans="1:17" x14ac:dyDescent="0.2">
      <c r="A58" s="2"/>
      <c r="B58" s="3"/>
      <c r="C58" s="3"/>
      <c r="D58" s="3"/>
      <c r="E58" s="3"/>
      <c r="F58" s="3"/>
      <c r="G58" s="3"/>
      <c r="H58" s="3"/>
      <c r="I58" s="3"/>
      <c r="J58" s="3"/>
      <c r="K58" s="3"/>
      <c r="L58" s="3"/>
      <c r="M58" s="3"/>
      <c r="N58" s="3"/>
      <c r="O58" s="3"/>
    </row>
    <row r="59" spans="1:17" x14ac:dyDescent="0.2">
      <c r="A59" s="2"/>
    </row>
  </sheetData>
  <pageMargins left="0.7" right="0.7" top="0.75" bottom="0.75" header="0.3" footer="0.3"/>
  <pageSetup orientation="portrait" r:id="rId1"/>
  <ignoredErrors>
    <ignoredError sqref="I46:P51 G46 H46:H51 D52:H53 D47:G51 D46:F46" formulaRange="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2:Y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5" width="10.7109375" style="1" customWidth="1"/>
    <col min="26" max="16384" width="9.140625" style="1"/>
  </cols>
  <sheetData>
    <row r="2" spans="1:25" x14ac:dyDescent="0.2">
      <c r="A2" s="34" t="s">
        <v>45</v>
      </c>
      <c r="B2" s="1" t="s">
        <v>88</v>
      </c>
    </row>
    <row r="3" spans="1:25" s="35" customFormat="1" x14ac:dyDescent="0.2">
      <c r="A3" s="36" t="s">
        <v>43</v>
      </c>
      <c r="B3" s="35" t="s">
        <v>120</v>
      </c>
    </row>
    <row r="4" spans="1:25" x14ac:dyDescent="0.2">
      <c r="A4" s="34" t="s">
        <v>41</v>
      </c>
      <c r="B4" s="1" t="s">
        <v>40</v>
      </c>
    </row>
    <row r="5" spans="1:25" x14ac:dyDescent="0.2">
      <c r="A5" s="34" t="s">
        <v>39</v>
      </c>
    </row>
    <row r="6" spans="1:25" x14ac:dyDescent="0.2">
      <c r="A6" s="34" t="s">
        <v>38</v>
      </c>
      <c r="B6" s="1">
        <v>3</v>
      </c>
    </row>
    <row r="7" spans="1:25" x14ac:dyDescent="0.2">
      <c r="A7" s="34" t="s">
        <v>37</v>
      </c>
      <c r="B7" s="1" t="s">
        <v>379</v>
      </c>
    </row>
    <row r="8" spans="1:25" x14ac:dyDescent="0.2">
      <c r="A8" s="34" t="s">
        <v>281</v>
      </c>
      <c r="B8" s="1" t="s">
        <v>302</v>
      </c>
    </row>
    <row r="9" spans="1:25" x14ac:dyDescent="0.2">
      <c r="A9" s="22"/>
    </row>
    <row r="10" spans="1:25"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c r="U10" s="33">
        <v>42643</v>
      </c>
      <c r="V10" s="33">
        <v>42551</v>
      </c>
      <c r="W10" s="33">
        <v>42460</v>
      </c>
      <c r="X10" s="33">
        <v>42369</v>
      </c>
      <c r="Y10" s="33">
        <v>42277</v>
      </c>
    </row>
    <row r="11" spans="1:25" x14ac:dyDescent="0.2">
      <c r="B11" s="56"/>
      <c r="C11" s="56"/>
      <c r="D11" s="56"/>
      <c r="E11" s="56"/>
      <c r="F11" s="56"/>
      <c r="G11" s="56"/>
      <c r="H11" s="56"/>
      <c r="I11" s="56"/>
    </row>
    <row r="12" spans="1:25" x14ac:dyDescent="0.2">
      <c r="A12" s="15" t="s">
        <v>35</v>
      </c>
      <c r="B12" s="19">
        <v>272.06400000000002</v>
      </c>
      <c r="C12" s="19">
        <v>268.73399999999998</v>
      </c>
      <c r="D12" s="19">
        <f>1053.903-E12-F12-G12</f>
        <v>266.95600000000002</v>
      </c>
      <c r="E12" s="19">
        <f>786.947-F12-G12</f>
        <v>266.96699999999998</v>
      </c>
      <c r="F12" s="19">
        <f>519.98-G12</f>
        <v>260.32100000000003</v>
      </c>
      <c r="G12" s="19">
        <v>259.65899999999999</v>
      </c>
      <c r="H12" s="19">
        <f>1003.662-I12-J12-K12</f>
        <v>260.81900000000002</v>
      </c>
      <c r="I12" s="19">
        <f>742.843-J12-K12</f>
        <v>254.05799999999994</v>
      </c>
      <c r="J12" s="19">
        <f>488.785-K12</f>
        <v>246.37100000000004</v>
      </c>
      <c r="K12" s="19">
        <v>242.41399999999999</v>
      </c>
      <c r="L12" s="19">
        <f>912.718-M12-N12-O12</f>
        <v>238.08700000000002</v>
      </c>
      <c r="M12" s="19">
        <f>674.631-N12-O12</f>
        <v>233.14599999999999</v>
      </c>
      <c r="N12" s="19">
        <f>441.485-O12</f>
        <v>223.56800000000001</v>
      </c>
      <c r="O12" s="19">
        <v>217.917</v>
      </c>
      <c r="P12" s="19">
        <f>823.794-Q12-R12-S12</f>
        <v>215.65099999999998</v>
      </c>
      <c r="Q12" s="19">
        <f>81.042+62.991+63.563</f>
        <v>207.596</v>
      </c>
      <c r="R12" s="19">
        <f>77.947+61.987+60.021</f>
        <v>199.95499999999998</v>
      </c>
      <c r="S12" s="19">
        <f>76.524+60.757+63.311</f>
        <v>200.59200000000001</v>
      </c>
      <c r="T12" s="19">
        <f>61.778+62.668+77.377</f>
        <v>201.82299999999998</v>
      </c>
      <c r="U12" s="19">
        <v>188.09000000000003</v>
      </c>
      <c r="V12" s="19">
        <v>176.92700000000002</v>
      </c>
      <c r="W12" s="19">
        <v>170.298</v>
      </c>
      <c r="X12" s="19">
        <v>152.58500000000004</v>
      </c>
      <c r="Y12" s="19">
        <v>164.52600000000001</v>
      </c>
    </row>
    <row r="13" spans="1:25" s="28" customFormat="1" x14ac:dyDescent="0.2">
      <c r="A13" s="28" t="s">
        <v>34</v>
      </c>
      <c r="B13" s="28">
        <f t="shared" ref="B13:U13" si="0">+B12/F12-1</f>
        <v>4.5109691496268089E-2</v>
      </c>
      <c r="C13" s="28">
        <f t="shared" si="0"/>
        <v>3.4949684008642068E-2</v>
      </c>
      <c r="D13" s="28">
        <f t="shared" si="0"/>
        <v>2.3529727512182852E-2</v>
      </c>
      <c r="E13" s="28">
        <f t="shared" si="0"/>
        <v>5.0811232080863578E-2</v>
      </c>
      <c r="F13" s="28">
        <f t="shared" si="0"/>
        <v>5.6621923846556621E-2</v>
      </c>
      <c r="G13" s="28">
        <f t="shared" si="0"/>
        <v>7.1138630607143094E-2</v>
      </c>
      <c r="H13" s="28">
        <f t="shared" si="0"/>
        <v>9.5477703528542124E-2</v>
      </c>
      <c r="I13" s="28">
        <f t="shared" si="0"/>
        <v>8.9694869309359548E-2</v>
      </c>
      <c r="J13" s="28">
        <f t="shared" si="0"/>
        <v>0.10199581335432639</v>
      </c>
      <c r="K13" s="28">
        <f t="shared" si="0"/>
        <v>0.11241435959562573</v>
      </c>
      <c r="L13" s="28">
        <f t="shared" si="0"/>
        <v>0.10403846956424978</v>
      </c>
      <c r="M13" s="28">
        <f t="shared" si="0"/>
        <v>0.12307558912503125</v>
      </c>
      <c r="N13" s="28">
        <f t="shared" si="0"/>
        <v>0.11809157060338582</v>
      </c>
      <c r="O13" s="28">
        <f t="shared" si="0"/>
        <v>8.6369346733668362E-2</v>
      </c>
      <c r="P13" s="28">
        <f t="shared" si="0"/>
        <v>6.8515481387156019E-2</v>
      </c>
      <c r="Q13" s="28">
        <f t="shared" si="0"/>
        <v>0.10370567281620491</v>
      </c>
      <c r="R13" s="28">
        <f t="shared" si="0"/>
        <v>0.13015537481560169</v>
      </c>
      <c r="S13" s="28">
        <f t="shared" si="0"/>
        <v>0.17788817249762179</v>
      </c>
      <c r="T13" s="28">
        <f t="shared" si="0"/>
        <v>0.32269226988236022</v>
      </c>
      <c r="U13" s="28">
        <f t="shared" si="0"/>
        <v>0.14322356344893827</v>
      </c>
    </row>
    <row r="14" spans="1:25"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row>
    <row r="16" spans="1:25" s="22" customFormat="1" x14ac:dyDescent="0.2">
      <c r="A16" s="30" t="s">
        <v>31</v>
      </c>
      <c r="B16" s="29">
        <v>42.823000000000022</v>
      </c>
      <c r="C16" s="29">
        <v>44.018999999999998</v>
      </c>
      <c r="D16" s="29">
        <f>151.384-E16-F16-G16</f>
        <v>39.518999999999984</v>
      </c>
      <c r="E16" s="29">
        <f>111.865-F16-G16</f>
        <v>43.586999999999996</v>
      </c>
      <c r="F16" s="29">
        <f>68.278-G16</f>
        <v>31.128000000000007</v>
      </c>
      <c r="G16" s="29">
        <v>37.15</v>
      </c>
      <c r="H16" s="29">
        <f>136.503-I16-J16-K16</f>
        <v>36.082999999999984</v>
      </c>
      <c r="I16" s="29">
        <f>100.42-J16-K16</f>
        <v>35.331000000000003</v>
      </c>
      <c r="J16" s="29">
        <f>65.089-K16</f>
        <v>34.185000000000002</v>
      </c>
      <c r="K16" s="29">
        <v>30.904</v>
      </c>
      <c r="L16" s="29">
        <f>123.727-M16-N16-O16</f>
        <v>33.153000000000006</v>
      </c>
      <c r="M16" s="29">
        <f>90.574-N16-O16</f>
        <v>34.34899999999999</v>
      </c>
      <c r="N16" s="29">
        <f>56.225-O16</f>
        <v>28.745000000000001</v>
      </c>
      <c r="O16" s="29">
        <v>27.48</v>
      </c>
      <c r="P16" s="29">
        <v>25.114000000000001</v>
      </c>
      <c r="Q16" s="29">
        <f>10.757+6.853+8.295</f>
        <v>25.905000000000001</v>
      </c>
      <c r="R16" s="29">
        <f>10.52+8.11+7.613</f>
        <v>26.242999999999999</v>
      </c>
      <c r="S16" s="29">
        <f>10.243+7.035+9.264</f>
        <v>26.541999999999998</v>
      </c>
      <c r="T16" s="29">
        <f>8.877+7.806+7.313</f>
        <v>23.995999999999999</v>
      </c>
      <c r="U16" s="29">
        <v>24.895</v>
      </c>
      <c r="V16" s="29">
        <v>23.839999999999996</v>
      </c>
      <c r="W16" s="29">
        <v>18.825000000000003</v>
      </c>
      <c r="X16" s="29">
        <v>13.997000000000003</v>
      </c>
      <c r="Y16" s="29">
        <v>18.475999999999996</v>
      </c>
    </row>
    <row r="17" spans="1:25" s="28" customFormat="1" x14ac:dyDescent="0.2">
      <c r="A17" s="28" t="s">
        <v>30</v>
      </c>
      <c r="B17" s="28">
        <f t="shared" ref="B17" si="1">+B16/B12</f>
        <v>0.15740046459656559</v>
      </c>
      <c r="C17" s="28">
        <f t="shared" ref="C17:D17" si="2">+C16/C12</f>
        <v>0.16380137980307666</v>
      </c>
      <c r="D17" s="28">
        <f t="shared" si="2"/>
        <v>0.14803563133999603</v>
      </c>
      <c r="E17" s="28">
        <f t="shared" ref="E17:F17" si="3">+E16/E12</f>
        <v>0.1632673701243974</v>
      </c>
      <c r="F17" s="28">
        <f t="shared" si="3"/>
        <v>0.11957544723629675</v>
      </c>
      <c r="G17" s="28">
        <f t="shared" ref="G17:J17" si="4">+G16/G12</f>
        <v>0.14307226015659</v>
      </c>
      <c r="H17" s="28">
        <f t="shared" si="4"/>
        <v>0.13834498253578145</v>
      </c>
      <c r="I17" s="28">
        <f t="shared" si="4"/>
        <v>0.13906666981555399</v>
      </c>
      <c r="J17" s="28">
        <f t="shared" si="4"/>
        <v>0.13875415531860485</v>
      </c>
      <c r="K17" s="28">
        <f t="shared" ref="K17:Y17" si="5">+K16/K12</f>
        <v>0.1274843862153176</v>
      </c>
      <c r="L17" s="28">
        <f t="shared" si="5"/>
        <v>0.13924741796066145</v>
      </c>
      <c r="M17" s="28">
        <f t="shared" si="5"/>
        <v>0.14732828356480485</v>
      </c>
      <c r="N17" s="28">
        <f t="shared" si="5"/>
        <v>0.12857385672368138</v>
      </c>
      <c r="O17" s="28">
        <f t="shared" si="5"/>
        <v>0.12610305758614518</v>
      </c>
      <c r="P17" s="28">
        <f t="shared" si="5"/>
        <v>0.11645668232468202</v>
      </c>
      <c r="Q17" s="28">
        <f t="shared" si="5"/>
        <v>0.12478564134183703</v>
      </c>
      <c r="R17" s="28">
        <f t="shared" si="5"/>
        <v>0.13124453001925435</v>
      </c>
      <c r="S17" s="28">
        <f t="shared" si="5"/>
        <v>0.13231833772034776</v>
      </c>
      <c r="T17" s="28">
        <f t="shared" si="5"/>
        <v>0.11889626058476983</v>
      </c>
      <c r="U17" s="28">
        <f t="shared" si="5"/>
        <v>0.13235685044393639</v>
      </c>
      <c r="V17" s="28">
        <f t="shared" si="5"/>
        <v>0.1347448382666297</v>
      </c>
      <c r="W17" s="28">
        <f t="shared" si="5"/>
        <v>0.11054152133319242</v>
      </c>
      <c r="X17" s="28">
        <f t="shared" si="5"/>
        <v>9.1732476980043914E-2</v>
      </c>
      <c r="Y17" s="28">
        <f t="shared" si="5"/>
        <v>0.1122983601376074</v>
      </c>
    </row>
    <row r="18" spans="1:25" s="23" customFormat="1" x14ac:dyDescent="0.2"/>
    <row r="19" spans="1:2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25" s="23" customFormat="1" x14ac:dyDescent="0.2">
      <c r="A20" s="15" t="s">
        <v>28</v>
      </c>
      <c r="B20" s="19">
        <f t="shared" ref="B20" si="6">B22-B16-B19-B21</f>
        <v>2.1509999999999749</v>
      </c>
      <c r="C20" s="19">
        <f t="shared" ref="C20:D20" si="7">C22-C16-C19-C21</f>
        <v>1.9200000000000017</v>
      </c>
      <c r="D20" s="19">
        <f t="shared" si="7"/>
        <v>2.1550000000000225</v>
      </c>
      <c r="E20" s="19">
        <f t="shared" ref="E20:F20" si="8">E22-E16-E19-E21</f>
        <v>2.3499999999999872</v>
      </c>
      <c r="F20" s="19">
        <f t="shared" si="8"/>
        <v>14.839999999999996</v>
      </c>
      <c r="G20" s="19">
        <f t="shared" ref="G20:J20" si="9">G22-G16-G19-G21</f>
        <v>1.2100000000000009</v>
      </c>
      <c r="H20" s="19">
        <f t="shared" si="9"/>
        <v>0.8609999999999971</v>
      </c>
      <c r="I20" s="19">
        <f t="shared" si="9"/>
        <v>0.81799999999999073</v>
      </c>
      <c r="J20" s="19">
        <f t="shared" si="9"/>
        <v>2.3350000000000009</v>
      </c>
      <c r="K20" s="19">
        <f t="shared" ref="K20:T20" si="10">K22-K16-K19-K21</f>
        <v>0.95200000000000173</v>
      </c>
      <c r="L20" s="19">
        <f t="shared" si="10"/>
        <v>1.3020000000000067</v>
      </c>
      <c r="M20" s="19">
        <f t="shared" si="10"/>
        <v>0.94200000000000728</v>
      </c>
      <c r="N20" s="19">
        <f t="shared" si="10"/>
        <v>0.98699999999999477</v>
      </c>
      <c r="O20" s="19">
        <f t="shared" si="10"/>
        <v>0.46600000000000108</v>
      </c>
      <c r="P20" s="19">
        <f t="shared" si="10"/>
        <v>4.3170000000000002</v>
      </c>
      <c r="Q20" s="19">
        <f t="shared" si="10"/>
        <v>1.4689999999999976</v>
      </c>
      <c r="R20" s="19">
        <f t="shared" si="10"/>
        <v>0.98300000000000054</v>
      </c>
      <c r="S20" s="19">
        <f t="shared" si="10"/>
        <v>1.8739999999999988</v>
      </c>
      <c r="T20" s="19">
        <f t="shared" si="10"/>
        <v>0.8630000000000031</v>
      </c>
      <c r="U20" s="19">
        <v>1.246</v>
      </c>
      <c r="V20" s="19">
        <v>1.4510000000000001</v>
      </c>
      <c r="W20" s="19">
        <v>1.657</v>
      </c>
      <c r="X20" s="19">
        <v>1.609</v>
      </c>
      <c r="Y20" s="19">
        <v>1.238</v>
      </c>
    </row>
    <row r="21" spans="1:2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f t="shared" ref="U21:Y21" si="11">U22-U16-U19-U20</f>
        <v>0</v>
      </c>
      <c r="V21" s="19">
        <f t="shared" si="11"/>
        <v>0</v>
      </c>
      <c r="W21" s="19">
        <f t="shared" si="11"/>
        <v>0</v>
      </c>
      <c r="X21" s="19">
        <f t="shared" si="11"/>
        <v>0</v>
      </c>
      <c r="Y21" s="19">
        <f t="shared" si="11"/>
        <v>0</v>
      </c>
    </row>
    <row r="22" spans="1:25" s="22" customFormat="1" x14ac:dyDescent="0.2">
      <c r="A22" s="22" t="s">
        <v>23</v>
      </c>
      <c r="B22" s="61">
        <v>44.973999999999997</v>
      </c>
      <c r="C22" s="61">
        <v>45.939</v>
      </c>
      <c r="D22" s="61">
        <f>171.939-E22-F22-G22</f>
        <v>41.674000000000007</v>
      </c>
      <c r="E22" s="61">
        <f>130.265-F22-G22</f>
        <v>45.936999999999983</v>
      </c>
      <c r="F22" s="61">
        <f>84.328-G22</f>
        <v>45.968000000000004</v>
      </c>
      <c r="G22" s="61">
        <v>38.36</v>
      </c>
      <c r="H22" s="61">
        <f>141.469-I22-J22-K22</f>
        <v>36.943999999999981</v>
      </c>
      <c r="I22" s="61">
        <f>104.525-J22-K22</f>
        <v>36.148999999999994</v>
      </c>
      <c r="J22" s="61">
        <f>68.376-K22</f>
        <v>36.520000000000003</v>
      </c>
      <c r="K22" s="61">
        <v>31.856000000000002</v>
      </c>
      <c r="L22" s="61">
        <f>127.424-M22-N22-O22</f>
        <v>34.455000000000013</v>
      </c>
      <c r="M22" s="61">
        <f>92.969-N22-O22</f>
        <v>35.290999999999997</v>
      </c>
      <c r="N22" s="61">
        <f>57.678-O22</f>
        <v>29.731999999999996</v>
      </c>
      <c r="O22" s="61">
        <v>27.946000000000002</v>
      </c>
      <c r="P22" s="61">
        <v>29.431000000000001</v>
      </c>
      <c r="Q22" s="61">
        <f>11.049+7.343+8.982</f>
        <v>27.373999999999999</v>
      </c>
      <c r="R22" s="61">
        <f>10.849+8.447+7.93</f>
        <v>27.225999999999999</v>
      </c>
      <c r="S22" s="61">
        <f>10.606+8.078+9.732</f>
        <v>28.415999999999997</v>
      </c>
      <c r="T22" s="61">
        <f>8.79+8.265+7.804</f>
        <v>24.859000000000002</v>
      </c>
      <c r="U22" s="61">
        <v>26.140999999999998</v>
      </c>
      <c r="V22" s="61">
        <v>25.290999999999997</v>
      </c>
      <c r="W22" s="61">
        <v>20.482000000000003</v>
      </c>
      <c r="X22" s="61">
        <v>15.606000000000003</v>
      </c>
      <c r="Y22" s="61">
        <v>19.713999999999995</v>
      </c>
    </row>
    <row r="23" spans="1:25" s="22" customFormat="1" x14ac:dyDescent="0.2">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25" s="22" customFormat="1" x14ac:dyDescent="0.2">
      <c r="A24" s="22" t="s">
        <v>27</v>
      </c>
      <c r="B24" s="20">
        <f t="shared" ref="B24:V24" si="12">SUM(B22:E22)</f>
        <v>178.52399999999997</v>
      </c>
      <c r="C24" s="20">
        <f t="shared" si="12"/>
        <v>179.51799999999997</v>
      </c>
      <c r="D24" s="20">
        <f t="shared" si="12"/>
        <v>171.93900000000002</v>
      </c>
      <c r="E24" s="20">
        <f t="shared" si="12"/>
        <v>167.20899999999997</v>
      </c>
      <c r="F24" s="20">
        <f t="shared" si="12"/>
        <v>157.42099999999999</v>
      </c>
      <c r="G24" s="20">
        <f t="shared" si="12"/>
        <v>147.97299999999998</v>
      </c>
      <c r="H24" s="20">
        <f t="shared" si="12"/>
        <v>141.46899999999997</v>
      </c>
      <c r="I24" s="20">
        <f t="shared" si="12"/>
        <v>138.98000000000002</v>
      </c>
      <c r="J24" s="20">
        <f t="shared" si="12"/>
        <v>138.12200000000001</v>
      </c>
      <c r="K24" s="20">
        <f t="shared" si="12"/>
        <v>131.334</v>
      </c>
      <c r="L24" s="20">
        <f t="shared" si="12"/>
        <v>127.42400000000001</v>
      </c>
      <c r="M24" s="20">
        <f t="shared" si="12"/>
        <v>122.39999999999999</v>
      </c>
      <c r="N24" s="20">
        <f t="shared" si="12"/>
        <v>114.48299999999999</v>
      </c>
      <c r="O24" s="20">
        <f t="shared" si="12"/>
        <v>111.977</v>
      </c>
      <c r="P24" s="20">
        <f t="shared" si="12"/>
        <v>112.447</v>
      </c>
      <c r="Q24" s="20">
        <f t="shared" si="12"/>
        <v>107.875</v>
      </c>
      <c r="R24" s="20">
        <f t="shared" si="12"/>
        <v>106.642</v>
      </c>
      <c r="S24" s="20">
        <f t="shared" si="12"/>
        <v>104.70699999999999</v>
      </c>
      <c r="T24" s="20">
        <f t="shared" si="12"/>
        <v>96.772999999999996</v>
      </c>
      <c r="U24" s="20">
        <f t="shared" si="12"/>
        <v>87.52000000000001</v>
      </c>
      <c r="V24" s="20">
        <f t="shared" si="12"/>
        <v>81.092999999999989</v>
      </c>
      <c r="W24" s="20"/>
      <c r="X24" s="20"/>
      <c r="Y24" s="20"/>
    </row>
    <row r="25" spans="1:25" s="23" customFormat="1" x14ac:dyDescent="0.2">
      <c r="A25" s="15" t="s">
        <v>26</v>
      </c>
      <c r="B25" s="27">
        <f>178.711-B24</f>
        <v>0.18700000000004025</v>
      </c>
      <c r="C25" s="27">
        <f>179.705-C24</f>
        <v>0.18700000000004025</v>
      </c>
      <c r="D25" s="27">
        <f>180-D24</f>
        <v>8.0609999999999786</v>
      </c>
      <c r="E25" s="27">
        <f>176.757422-E24</f>
        <v>9.5484220000000164</v>
      </c>
      <c r="F25" s="27">
        <f>168.724429-F24</f>
        <v>11.303428999999994</v>
      </c>
      <c r="G25" s="27">
        <f>161.120338-G24</f>
        <v>13.147338000000019</v>
      </c>
      <c r="H25" s="27">
        <f>150.61885-H24</f>
        <v>9.1498500000000433</v>
      </c>
      <c r="I25" s="27">
        <f>149.602106-I24</f>
        <v>10.622105999999974</v>
      </c>
      <c r="J25" s="27">
        <f>148.166554-J24</f>
        <v>10.044553999999977</v>
      </c>
      <c r="K25" s="27">
        <f>142.413989-K24</f>
        <v>11.079988999999983</v>
      </c>
      <c r="L25" s="27">
        <f>137.485883-L24</f>
        <v>10.061882999999995</v>
      </c>
      <c r="M25" s="27">
        <f>131.68012-M26-M24</f>
        <v>9.2801199999999966</v>
      </c>
      <c r="N25" s="27">
        <f>124.311907-N26-N24</f>
        <v>9.8289070000000152</v>
      </c>
      <c r="O25" s="27">
        <f>121.466899-O26-O24</f>
        <v>9.4898989999999941</v>
      </c>
      <c r="P25" s="27">
        <f>119.21098-P26-P24</f>
        <v>6.7639800000000037</v>
      </c>
      <c r="Q25" s="27">
        <v>0</v>
      </c>
      <c r="R25" s="27">
        <v>0</v>
      </c>
      <c r="S25" s="27">
        <v>0</v>
      </c>
      <c r="T25" s="27">
        <v>0</v>
      </c>
      <c r="U25" s="27">
        <v>0</v>
      </c>
      <c r="V25" s="27">
        <v>0</v>
      </c>
      <c r="W25" s="27"/>
      <c r="X25" s="27"/>
      <c r="Y25" s="27"/>
    </row>
    <row r="26" spans="1:25"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6"/>
      <c r="X26" s="26"/>
      <c r="Y26" s="26"/>
    </row>
    <row r="27" spans="1:25" s="24" customFormat="1" x14ac:dyDescent="0.2">
      <c r="A27" s="22" t="s">
        <v>24</v>
      </c>
      <c r="B27" s="20">
        <f t="shared" ref="B27:C27" si="13">SUM(B24:B26)</f>
        <v>178.71100000000001</v>
      </c>
      <c r="C27" s="20">
        <f t="shared" si="13"/>
        <v>179.70500000000001</v>
      </c>
      <c r="D27" s="20">
        <f t="shared" ref="D27:E27" si="14">SUM(D24:D26)</f>
        <v>180</v>
      </c>
      <c r="E27" s="20">
        <f t="shared" si="14"/>
        <v>176.75742199999999</v>
      </c>
      <c r="F27" s="20">
        <f t="shared" ref="F27:G27" si="15">SUM(F24:F26)</f>
        <v>168.72442899999999</v>
      </c>
      <c r="G27" s="20">
        <f t="shared" si="15"/>
        <v>161.120338</v>
      </c>
      <c r="H27" s="20">
        <f t="shared" ref="H27:I27" si="16">SUM(H24:H26)</f>
        <v>150.61885000000001</v>
      </c>
      <c r="I27" s="20">
        <f t="shared" si="16"/>
        <v>149.60210599999999</v>
      </c>
      <c r="J27" s="20">
        <f t="shared" ref="J27:V27" si="17">SUM(J24:J26)</f>
        <v>148.16655399999999</v>
      </c>
      <c r="K27" s="20">
        <f t="shared" si="17"/>
        <v>142.41398899999999</v>
      </c>
      <c r="L27" s="20">
        <f t="shared" si="17"/>
        <v>137.485883</v>
      </c>
      <c r="M27" s="20">
        <f t="shared" si="17"/>
        <v>131.68011999999999</v>
      </c>
      <c r="N27" s="20">
        <f t="shared" si="17"/>
        <v>124.31190700000001</v>
      </c>
      <c r="O27" s="20">
        <f t="shared" si="17"/>
        <v>121.466899</v>
      </c>
      <c r="P27" s="20">
        <f t="shared" si="17"/>
        <v>119.21098000000001</v>
      </c>
      <c r="Q27" s="20">
        <f t="shared" si="17"/>
        <v>107.875</v>
      </c>
      <c r="R27" s="20">
        <f t="shared" si="17"/>
        <v>106.642</v>
      </c>
      <c r="S27" s="20">
        <f t="shared" si="17"/>
        <v>104.70699999999999</v>
      </c>
      <c r="T27" s="20">
        <f t="shared" si="17"/>
        <v>96.772999999999996</v>
      </c>
      <c r="U27" s="20">
        <f t="shared" si="17"/>
        <v>87.52000000000001</v>
      </c>
      <c r="V27" s="20">
        <f t="shared" si="17"/>
        <v>81.092999999999989</v>
      </c>
      <c r="W27" s="25"/>
      <c r="X27" s="25"/>
      <c r="Y27" s="25"/>
    </row>
    <row r="28" spans="1:25" s="23" customFormat="1" x14ac:dyDescent="0.2"/>
    <row r="29" spans="1:25" s="22" customFormat="1" x14ac:dyDescent="0.2">
      <c r="A29" s="22" t="s">
        <v>23</v>
      </c>
      <c r="B29" s="20">
        <f t="shared" ref="B29" si="18">B22</f>
        <v>44.973999999999997</v>
      </c>
      <c r="C29" s="20">
        <f t="shared" ref="C29:E29" si="19">C22</f>
        <v>45.939</v>
      </c>
      <c r="D29" s="20">
        <f t="shared" si="19"/>
        <v>41.674000000000007</v>
      </c>
      <c r="E29" s="20">
        <f t="shared" si="19"/>
        <v>45.936999999999983</v>
      </c>
      <c r="F29" s="20">
        <f t="shared" ref="F29:I29" si="20">F22</f>
        <v>45.968000000000004</v>
      </c>
      <c r="G29" s="20">
        <f t="shared" si="20"/>
        <v>38.36</v>
      </c>
      <c r="H29" s="20">
        <f t="shared" si="20"/>
        <v>36.943999999999981</v>
      </c>
      <c r="I29" s="20">
        <f t="shared" si="20"/>
        <v>36.148999999999994</v>
      </c>
      <c r="J29" s="20">
        <f t="shared" ref="J29:Y29" si="21">J22</f>
        <v>36.520000000000003</v>
      </c>
      <c r="K29" s="20">
        <f t="shared" si="21"/>
        <v>31.856000000000002</v>
      </c>
      <c r="L29" s="20">
        <f t="shared" si="21"/>
        <v>34.455000000000013</v>
      </c>
      <c r="M29" s="20">
        <f t="shared" si="21"/>
        <v>35.290999999999997</v>
      </c>
      <c r="N29" s="20">
        <f t="shared" si="21"/>
        <v>29.731999999999996</v>
      </c>
      <c r="O29" s="20">
        <f t="shared" si="21"/>
        <v>27.946000000000002</v>
      </c>
      <c r="P29" s="20">
        <f t="shared" si="21"/>
        <v>29.431000000000001</v>
      </c>
      <c r="Q29" s="20">
        <f t="shared" si="21"/>
        <v>27.373999999999999</v>
      </c>
      <c r="R29" s="20">
        <f t="shared" si="21"/>
        <v>27.225999999999999</v>
      </c>
      <c r="S29" s="20">
        <f t="shared" si="21"/>
        <v>28.415999999999997</v>
      </c>
      <c r="T29" s="20">
        <f t="shared" si="21"/>
        <v>24.859000000000002</v>
      </c>
      <c r="U29" s="20">
        <f t="shared" si="21"/>
        <v>26.140999999999998</v>
      </c>
      <c r="V29" s="20">
        <f t="shared" si="21"/>
        <v>25.290999999999997</v>
      </c>
      <c r="W29" s="20">
        <f t="shared" si="21"/>
        <v>20.482000000000003</v>
      </c>
      <c r="X29" s="20">
        <f t="shared" si="21"/>
        <v>15.606000000000003</v>
      </c>
      <c r="Y29" s="20">
        <f t="shared" si="21"/>
        <v>19.713999999999995</v>
      </c>
    </row>
    <row r="30" spans="1:25" s="11" customFormat="1" x14ac:dyDescent="0.2">
      <c r="A30" s="19" t="s">
        <v>22</v>
      </c>
      <c r="B30" s="19">
        <v>-16.984999999999999</v>
      </c>
      <c r="C30" s="19">
        <v>-17.992000000000001</v>
      </c>
      <c r="D30" s="19">
        <f>-59.536-E30-F30-G30</f>
        <v>-15.055</v>
      </c>
      <c r="E30" s="19">
        <f>-44.481-F30-G30</f>
        <v>-15.672000000000004</v>
      </c>
      <c r="F30" s="19">
        <f>-30.423+1.614-G30</f>
        <v>-13.660999999999998</v>
      </c>
      <c r="G30" s="19">
        <f>-15.955+0.807</f>
        <v>-15.148</v>
      </c>
      <c r="H30" s="19">
        <f>-66.711-I30-J30-K30</f>
        <v>-17.155000000000001</v>
      </c>
      <c r="I30" s="19">
        <f>-49.556-J30-K30</f>
        <v>-18.664999999999999</v>
      </c>
      <c r="J30" s="19">
        <f>-32.199+1.308-K30</f>
        <v>-15.578999999999999</v>
      </c>
      <c r="K30" s="19">
        <f>-15.936+0.624</f>
        <v>-15.311999999999999</v>
      </c>
      <c r="L30" s="19">
        <f>-37.563-19.574-M30-N30-O30</f>
        <v>-11.588000000000003</v>
      </c>
      <c r="M30" s="19">
        <f>-45.549-N30-O30</f>
        <v>-16.993000000000002</v>
      </c>
      <c r="N30" s="19">
        <f>-29.804+1.248-O30</f>
        <v>-14.595999999999998</v>
      </c>
      <c r="O30" s="19">
        <f>-14.584+0.624</f>
        <v>-13.959999999999999</v>
      </c>
      <c r="P30" s="19">
        <f>-41.121-Q30-R30-S30</f>
        <v>-14.773000000000005</v>
      </c>
      <c r="Q30" s="19">
        <f>-28.787+2.439-S30-R30</f>
        <v>-8.6419999999999977</v>
      </c>
      <c r="R30" s="19">
        <f>-19.332+1.626-S30</f>
        <v>-8.859</v>
      </c>
      <c r="S30" s="19">
        <f>-9.661+0.814</f>
        <v>-8.8469999999999995</v>
      </c>
      <c r="T30" s="19">
        <v>-9.1300000000000026</v>
      </c>
      <c r="U30" s="19">
        <v>-8.879999999999999</v>
      </c>
      <c r="V30" s="19">
        <v>-9.5860000000000003</v>
      </c>
      <c r="W30" s="19">
        <v>-9.3879999999999999</v>
      </c>
      <c r="X30" s="19">
        <v>-9.2639999999999993</v>
      </c>
      <c r="Y30" s="19">
        <v>-9.4570000000000007</v>
      </c>
    </row>
    <row r="31" spans="1:25" s="11" customFormat="1" x14ac:dyDescent="0.2">
      <c r="A31" s="19" t="s">
        <v>21</v>
      </c>
      <c r="B31" s="19">
        <v>-0.78300000000000003</v>
      </c>
      <c r="C31" s="19">
        <v>-0.62</v>
      </c>
      <c r="D31" s="19">
        <f>-1.428-E31-F31-G31</f>
        <v>-0.39999999999999991</v>
      </c>
      <c r="E31" s="19">
        <f>-1.028-F31-G31</f>
        <v>-0.35099999999999998</v>
      </c>
      <c r="F31" s="19">
        <f>-0.677-G31</f>
        <v>-0.29200000000000004</v>
      </c>
      <c r="G31" s="19">
        <v>-0.38500000000000001</v>
      </c>
      <c r="H31" s="19">
        <f>-0.706-I31-J31-K31</f>
        <v>-0.16799999999999993</v>
      </c>
      <c r="I31" s="19">
        <f>-0.538-J31-K31</f>
        <v>-0.25800000000000001</v>
      </c>
      <c r="J31" s="19">
        <f>-0.28-K31</f>
        <v>0.11199999999999999</v>
      </c>
      <c r="K31" s="19">
        <v>-0.39200000000000002</v>
      </c>
      <c r="L31" s="19">
        <f>-0.815-0.517-M31-N31-O31</f>
        <v>-0.47599999999999987</v>
      </c>
      <c r="M31" s="19">
        <f>-0.856-N31-O31</f>
        <v>-0.34199999999999997</v>
      </c>
      <c r="N31" s="19">
        <v>-0.245</v>
      </c>
      <c r="O31" s="19">
        <v>-0.26900000000000002</v>
      </c>
      <c r="P31" s="19">
        <f>-1.987-Q31-R31-S31</f>
        <v>-0.61699999999999999</v>
      </c>
      <c r="Q31" s="19">
        <v>-0.36199999999999999</v>
      </c>
      <c r="R31" s="19">
        <v>-0.64600000000000002</v>
      </c>
      <c r="S31" s="19">
        <v>-0.36199999999999999</v>
      </c>
      <c r="T31" s="19">
        <f>-0.569-0.005</f>
        <v>-0.57399999999999995</v>
      </c>
      <c r="U31" s="19">
        <v>-0.51600000000000013</v>
      </c>
      <c r="V31" s="19">
        <v>-0.58299999999999996</v>
      </c>
      <c r="W31" s="19">
        <v>-0.13600000000000001</v>
      </c>
      <c r="X31" s="19">
        <f>-0.597-0.598</f>
        <v>-1.1949999999999998</v>
      </c>
      <c r="Y31" s="19">
        <v>-0.59699999999999998</v>
      </c>
    </row>
    <row r="32" spans="1:25" s="11" customFormat="1" x14ac:dyDescent="0.2">
      <c r="A32" s="19" t="s">
        <v>20</v>
      </c>
      <c r="B32" s="19"/>
      <c r="C32" s="19">
        <v>-9.304000000000002</v>
      </c>
      <c r="D32" s="19">
        <f>-14.157-1.274-6.099+0.362+8.316+29.432-E32-F32-G32</f>
        <v>7.8629999999999978</v>
      </c>
      <c r="E32" s="19">
        <f>-4.448-1.503-5.141-3.584+4.18+19.213-F32-G32</f>
        <v>12.616999999999999</v>
      </c>
      <c r="F32" s="19">
        <f>-2.328-2.063-4.782-1.828-2.135+9.236-G32</f>
        <v>1.9480000000000004</v>
      </c>
      <c r="G32" s="19">
        <f>1.373-0.534+0.16-2.534-4.508+0.195</f>
        <v>-5.847999999999999</v>
      </c>
      <c r="H32" s="19">
        <f>-4.667-0.358-0.981+2.099+4.347+1.707-I32-J32-K32</f>
        <v>2.7580000000000013</v>
      </c>
      <c r="I32" s="19">
        <f>-2.203-0.298-1.34-0.028+1.946+1.312-J32-K32</f>
        <v>3.3709999999999996</v>
      </c>
      <c r="J32" s="19">
        <f>-0.943-0.208-1.454+0.016-2.57+1.177-K32</f>
        <v>-1.589</v>
      </c>
      <c r="K32" s="19">
        <f>-0.041+0.286-0.512-0.53-2.642+1.046</f>
        <v>-2.3929999999999998</v>
      </c>
      <c r="L32" s="19">
        <f>0.554+0.058-4.473-14.056+0.612+0.221-0.394+4.386+52.822-0.083-M32-N32-O32</f>
        <v>45.845000000000006</v>
      </c>
      <c r="M32" s="19">
        <f>-4.624-0.58-1.772-0.687+0.47+0.995-N32-O32</f>
        <v>0.52099999999999991</v>
      </c>
      <c r="N32" s="19">
        <f>-2.636+0.138-2.046-1.16-1.848+0.833-O32</f>
        <v>-1.6160000000000005</v>
      </c>
      <c r="O32" s="19">
        <f>2.03-0.196-0.692-0.868-5.805+0.428</f>
        <v>-5.1029999999999998</v>
      </c>
      <c r="P32" s="19">
        <f>4.288-0.716-0.874+2.428-0.278-Q32-R32-S32</f>
        <v>-2.4800000000000004</v>
      </c>
      <c r="Q32" s="19">
        <f>4.818-1.018+0.564-1.25+4.31-0.096-S32-R32</f>
        <v>4.6620000000000008</v>
      </c>
      <c r="R32" s="19">
        <f>8.264-0.111+1.036-1.369-4.976-0.178-S32</f>
        <v>3.0579999999999976</v>
      </c>
      <c r="S32" s="19">
        <f>7.401-0.433+1.776-0.584-8.575+0.023</f>
        <v>-0.39199999999999913</v>
      </c>
      <c r="T32" s="19">
        <v>3.8599999999999994</v>
      </c>
      <c r="U32" s="19">
        <v>-7.8640000000000017</v>
      </c>
      <c r="V32" s="19">
        <v>-0.84999999999999931</v>
      </c>
      <c r="W32" s="19">
        <v>-2.1379999999999995</v>
      </c>
      <c r="X32" s="19">
        <v>2.4889999999999999</v>
      </c>
      <c r="Y32" s="19">
        <v>-0.93599999999999983</v>
      </c>
    </row>
    <row r="33" spans="1:25" s="11" customFormat="1" x14ac:dyDescent="0.2">
      <c r="A33" s="19" t="s">
        <v>19</v>
      </c>
      <c r="B33" s="19">
        <f t="shared" ref="B33" si="22">-B19-B20-B21</f>
        <v>-2.1509999999999749</v>
      </c>
      <c r="C33" s="19">
        <f t="shared" ref="C33:D33" si="23">-C19-C20-C21</f>
        <v>-1.9200000000000017</v>
      </c>
      <c r="D33" s="19">
        <f t="shared" si="23"/>
        <v>-2.1550000000000225</v>
      </c>
      <c r="E33" s="19">
        <f t="shared" ref="E33:F33" si="24">-E19-E20-E21</f>
        <v>-2.3499999999999872</v>
      </c>
      <c r="F33" s="19">
        <f t="shared" si="24"/>
        <v>-14.839999999999996</v>
      </c>
      <c r="G33" s="19">
        <f t="shared" ref="G33" si="25">-G19-G20-G21</f>
        <v>-1.2100000000000009</v>
      </c>
      <c r="H33" s="19">
        <f t="shared" ref="H33:I33" si="26">-H19-H20-H21</f>
        <v>-0.8609999999999971</v>
      </c>
      <c r="I33" s="19">
        <f t="shared" si="26"/>
        <v>-0.81799999999999073</v>
      </c>
      <c r="J33" s="19">
        <f t="shared" ref="J33" si="27">-J19-J20-J21</f>
        <v>-2.3350000000000009</v>
      </c>
      <c r="K33" s="19">
        <f t="shared" ref="K33:Y33" si="28">-K19-K20-K21</f>
        <v>-0.95200000000000173</v>
      </c>
      <c r="L33" s="19">
        <f t="shared" si="28"/>
        <v>-1.3020000000000067</v>
      </c>
      <c r="M33" s="19">
        <f t="shared" si="28"/>
        <v>-0.94200000000000728</v>
      </c>
      <c r="N33" s="19">
        <f t="shared" si="28"/>
        <v>-0.98699999999999477</v>
      </c>
      <c r="O33" s="19">
        <f t="shared" si="28"/>
        <v>-0.46600000000000108</v>
      </c>
      <c r="P33" s="19">
        <f t="shared" si="28"/>
        <v>-4.3170000000000002</v>
      </c>
      <c r="Q33" s="19">
        <f t="shared" si="28"/>
        <v>-1.4689999999999976</v>
      </c>
      <c r="R33" s="19">
        <f t="shared" si="28"/>
        <v>-0.98300000000000054</v>
      </c>
      <c r="S33" s="19">
        <f t="shared" si="28"/>
        <v>-1.8739999999999988</v>
      </c>
      <c r="T33" s="19">
        <f t="shared" si="28"/>
        <v>-0.8630000000000031</v>
      </c>
      <c r="U33" s="19">
        <f t="shared" si="28"/>
        <v>-1.246</v>
      </c>
      <c r="V33" s="19">
        <f t="shared" si="28"/>
        <v>-1.4510000000000001</v>
      </c>
      <c r="W33" s="19">
        <f t="shared" si="28"/>
        <v>-1.657</v>
      </c>
      <c r="X33" s="19">
        <f t="shared" si="28"/>
        <v>-1.609</v>
      </c>
      <c r="Y33" s="19">
        <f t="shared" si="28"/>
        <v>-1.238</v>
      </c>
    </row>
    <row r="34" spans="1:25" s="11" customFormat="1" x14ac:dyDescent="0.2">
      <c r="A34" s="19" t="s">
        <v>18</v>
      </c>
      <c r="B34" s="21">
        <f t="shared" ref="B34" si="29">B35-SUM(B29:B33)</f>
        <v>4.4189999999999792</v>
      </c>
      <c r="C34" s="21">
        <f t="shared" ref="C34:D34" si="30">C35-SUM(C29:C33)</f>
        <v>1.3960000000000043</v>
      </c>
      <c r="D34" s="21">
        <f t="shared" si="30"/>
        <v>1.2170000000000059</v>
      </c>
      <c r="E34" s="21">
        <f t="shared" ref="E34:F34" si="31">E35-SUM(E29:E33)</f>
        <v>2.6530000000000129</v>
      </c>
      <c r="F34" s="21">
        <f t="shared" si="31"/>
        <v>0.52299999999999613</v>
      </c>
      <c r="G34" s="21">
        <f t="shared" ref="G34" si="32">G35-SUM(G29:G33)</f>
        <v>0.24000000000000199</v>
      </c>
      <c r="H34" s="21">
        <f t="shared" ref="H34:I34" si="33">H35-SUM(H29:H33)</f>
        <v>0.14500000000001378</v>
      </c>
      <c r="I34" s="21">
        <f t="shared" si="33"/>
        <v>1.0309999999999881</v>
      </c>
      <c r="J34" s="21">
        <f t="shared" ref="J34" si="34">J35-SUM(J29:J33)</f>
        <v>-0.6460000000000008</v>
      </c>
      <c r="K34" s="21">
        <f t="shared" ref="K34:Y34" si="35">K35-SUM(K29:K33)</f>
        <v>5.6999999999998607E-2</v>
      </c>
      <c r="L34" s="21">
        <f t="shared" si="35"/>
        <v>-4.0090000000000074</v>
      </c>
      <c r="M34" s="21">
        <f t="shared" si="35"/>
        <v>0.98000000000001108</v>
      </c>
      <c r="N34" s="21">
        <f t="shared" si="35"/>
        <v>-39.47</v>
      </c>
      <c r="O34" s="21">
        <f t="shared" si="35"/>
        <v>-1.1490000000000018</v>
      </c>
      <c r="P34" s="21">
        <f t="shared" si="35"/>
        <v>4.9280000000000008</v>
      </c>
      <c r="Q34" s="21">
        <f t="shared" si="35"/>
        <v>-0.37100000000000577</v>
      </c>
      <c r="R34" s="21">
        <f t="shared" si="35"/>
        <v>-0.62899999999999068</v>
      </c>
      <c r="S34" s="21">
        <f t="shared" si="35"/>
        <v>-0.2759999999999998</v>
      </c>
      <c r="T34" s="21">
        <f t="shared" si="35"/>
        <v>0.2690000000000019</v>
      </c>
      <c r="U34" s="21">
        <f t="shared" si="35"/>
        <v>0.80400000000000382</v>
      </c>
      <c r="V34" s="21">
        <f t="shared" si="35"/>
        <v>0.87100000000000399</v>
      </c>
      <c r="W34" s="21">
        <f t="shared" si="35"/>
        <v>-4.1000000000003922E-2</v>
      </c>
      <c r="X34" s="21">
        <f t="shared" si="35"/>
        <v>6.6039999999999948</v>
      </c>
      <c r="Y34" s="21">
        <f t="shared" si="35"/>
        <v>-1.4259999999999948</v>
      </c>
    </row>
    <row r="35" spans="1:25" s="20" customFormat="1" x14ac:dyDescent="0.2">
      <c r="A35" s="20" t="s">
        <v>17</v>
      </c>
      <c r="B35" s="20">
        <v>29.474</v>
      </c>
      <c r="C35" s="20">
        <v>17.498999999999999</v>
      </c>
      <c r="D35" s="20">
        <f>111.633-E35-F35-G35</f>
        <v>33.143999999999991</v>
      </c>
      <c r="E35" s="20">
        <f>78.489-F35-G35</f>
        <v>42.834000000000003</v>
      </c>
      <c r="F35" s="20">
        <f>35.655-G35</f>
        <v>19.646000000000001</v>
      </c>
      <c r="G35" s="20">
        <v>16.009</v>
      </c>
      <c r="H35" s="20">
        <f>71.82-I35-J35-K35</f>
        <v>21.663</v>
      </c>
      <c r="I35" s="20">
        <f>50.157-J35-K35</f>
        <v>20.809999999999992</v>
      </c>
      <c r="J35" s="20">
        <f>29.347-K35</f>
        <v>16.483000000000001</v>
      </c>
      <c r="K35" s="20">
        <v>12.864000000000001</v>
      </c>
      <c r="L35" s="20">
        <f>24.739+36.518-M35-N35-O35</f>
        <v>62.925000000000004</v>
      </c>
      <c r="M35" s="20">
        <f>-1.668-N35-O35</f>
        <v>18.515000000000001</v>
      </c>
      <c r="N35" s="20">
        <f>-20.183-O35</f>
        <v>-27.181999999999999</v>
      </c>
      <c r="O35" s="20">
        <v>6.9989999999999997</v>
      </c>
      <c r="P35" s="20">
        <f>69.196-Q35-R35-S35</f>
        <v>12.171999999999997</v>
      </c>
      <c r="Q35" s="20">
        <f>57.024-S35-R35</f>
        <v>21.192</v>
      </c>
      <c r="R35" s="20">
        <f>35.832-S35</f>
        <v>19.167000000000002</v>
      </c>
      <c r="S35" s="20">
        <v>16.664999999999999</v>
      </c>
      <c r="T35" s="20">
        <v>18.420999999999999</v>
      </c>
      <c r="U35" s="20">
        <v>8.4390000000000001</v>
      </c>
      <c r="V35" s="20">
        <v>13.692</v>
      </c>
      <c r="W35" s="20">
        <v>7.1219999999999999</v>
      </c>
      <c r="X35" s="20">
        <v>12.630999999999998</v>
      </c>
      <c r="Y35" s="20">
        <v>6.0600000000000005</v>
      </c>
    </row>
    <row r="36" spans="1:25" s="11" customFormat="1" x14ac:dyDescent="0.2">
      <c r="A36" s="19" t="s">
        <v>16</v>
      </c>
      <c r="B36" s="21">
        <v>-0.89999999999999991</v>
      </c>
      <c r="C36" s="21">
        <v>-1.1539999999999999</v>
      </c>
      <c r="D36" s="21">
        <f>-3.547-E36-F36-G36</f>
        <v>-1.2560000000000002</v>
      </c>
      <c r="E36" s="21">
        <f>-2.291-F36-G36</f>
        <v>-0.63800000000000001</v>
      </c>
      <c r="F36" s="21">
        <f>-1.653-G36</f>
        <v>-0.88400000000000001</v>
      </c>
      <c r="G36" s="21">
        <v>-0.76900000000000002</v>
      </c>
      <c r="H36" s="21">
        <f>-3.341-I36-J36-K36</f>
        <v>-0.90900000000000047</v>
      </c>
      <c r="I36" s="21">
        <f>-2.432-J36-K36</f>
        <v>-1.071</v>
      </c>
      <c r="J36" s="21">
        <f>-1.361-K36</f>
        <v>-0.56299999999999994</v>
      </c>
      <c r="K36" s="21">
        <v>-0.79800000000000004</v>
      </c>
      <c r="L36" s="21">
        <f>-1.532-1.03-M36-N36-O36</f>
        <v>-0.46900000000000042</v>
      </c>
      <c r="M36" s="21">
        <f>-2.093-N36-O36</f>
        <v>-0.6479999999999998</v>
      </c>
      <c r="N36" s="21">
        <f>-1.445-O36</f>
        <v>-0.7360000000000001</v>
      </c>
      <c r="O36" s="21">
        <v>-0.70899999999999996</v>
      </c>
      <c r="P36" s="21">
        <f>-6.914-Q36-R36-S36</f>
        <v>-0.46399999999999952</v>
      </c>
      <c r="Q36" s="21">
        <f>-6.45-S36-R36</f>
        <v>-0.6509999999999998</v>
      </c>
      <c r="R36" s="21">
        <f>-5.799-S36</f>
        <v>-0.62800000000000011</v>
      </c>
      <c r="S36" s="21">
        <v>-5.1710000000000003</v>
      </c>
      <c r="T36" s="21">
        <v>-4.9539999999999997</v>
      </c>
      <c r="U36" s="21">
        <v>-0.65199999999999991</v>
      </c>
      <c r="V36" s="21">
        <v>-0.85699999999999987</v>
      </c>
      <c r="W36" s="21">
        <v>-0.92400000000000004</v>
      </c>
      <c r="X36" s="21">
        <v>-1.3119999999999998</v>
      </c>
      <c r="Y36" s="21">
        <v>-1.294</v>
      </c>
    </row>
    <row r="37" spans="1:25" s="20" customFormat="1" x14ac:dyDescent="0.2">
      <c r="A37" s="20" t="s">
        <v>15</v>
      </c>
      <c r="B37" s="20">
        <f t="shared" ref="B37:Y37" si="36">+B35+B36</f>
        <v>28.574000000000002</v>
      </c>
      <c r="C37" s="20">
        <f t="shared" si="36"/>
        <v>16.344999999999999</v>
      </c>
      <c r="D37" s="20">
        <f t="shared" si="36"/>
        <v>31.887999999999991</v>
      </c>
      <c r="E37" s="20">
        <f t="shared" si="36"/>
        <v>42.196000000000005</v>
      </c>
      <c r="F37" s="20">
        <f t="shared" si="36"/>
        <v>18.762</v>
      </c>
      <c r="G37" s="20">
        <f t="shared" si="36"/>
        <v>15.24</v>
      </c>
      <c r="H37" s="20">
        <f t="shared" si="36"/>
        <v>20.754000000000001</v>
      </c>
      <c r="I37" s="20">
        <f t="shared" si="36"/>
        <v>19.73899999999999</v>
      </c>
      <c r="J37" s="20">
        <f t="shared" si="36"/>
        <v>15.92</v>
      </c>
      <c r="K37" s="20">
        <f t="shared" si="36"/>
        <v>12.066000000000001</v>
      </c>
      <c r="L37" s="20">
        <f t="shared" si="36"/>
        <v>62.456000000000003</v>
      </c>
      <c r="M37" s="20">
        <f t="shared" si="36"/>
        <v>17.867000000000001</v>
      </c>
      <c r="N37" s="20">
        <f t="shared" si="36"/>
        <v>-27.917999999999999</v>
      </c>
      <c r="O37" s="20">
        <f t="shared" si="36"/>
        <v>6.29</v>
      </c>
      <c r="P37" s="20">
        <f t="shared" si="36"/>
        <v>11.707999999999998</v>
      </c>
      <c r="Q37" s="20">
        <f t="shared" si="36"/>
        <v>20.541</v>
      </c>
      <c r="R37" s="20">
        <f t="shared" si="36"/>
        <v>18.539000000000001</v>
      </c>
      <c r="S37" s="20">
        <f t="shared" si="36"/>
        <v>11.494</v>
      </c>
      <c r="T37" s="20">
        <f t="shared" si="36"/>
        <v>13.466999999999999</v>
      </c>
      <c r="U37" s="20">
        <f t="shared" si="36"/>
        <v>7.7869999999999999</v>
      </c>
      <c r="V37" s="20">
        <f t="shared" si="36"/>
        <v>12.835000000000001</v>
      </c>
      <c r="W37" s="20">
        <f t="shared" si="36"/>
        <v>6.1979999999999995</v>
      </c>
      <c r="X37" s="20">
        <f t="shared" si="36"/>
        <v>11.318999999999999</v>
      </c>
      <c r="Y37" s="20">
        <f t="shared" si="36"/>
        <v>4.766</v>
      </c>
    </row>
    <row r="38" spans="1:25" x14ac:dyDescent="0.2">
      <c r="B38" s="130"/>
      <c r="C38" s="130"/>
      <c r="D38" s="130"/>
      <c r="E38" s="130"/>
      <c r="F38" s="130"/>
    </row>
    <row r="39" spans="1:25" s="16" customFormat="1" x14ac:dyDescent="0.2">
      <c r="A39" s="18" t="s">
        <v>14</v>
      </c>
      <c r="B39" s="19">
        <v>0</v>
      </c>
      <c r="C39" s="19">
        <v>0</v>
      </c>
      <c r="D39" s="19">
        <v>0</v>
      </c>
      <c r="E39" s="19">
        <v>0</v>
      </c>
      <c r="F39" s="19">
        <v>0</v>
      </c>
      <c r="G39" s="19">
        <v>0</v>
      </c>
      <c r="H39" s="19">
        <v>0</v>
      </c>
      <c r="I39" s="19">
        <v>0</v>
      </c>
      <c r="J39" s="19">
        <v>0</v>
      </c>
      <c r="K39" s="19">
        <v>0</v>
      </c>
      <c r="L39" s="19">
        <v>0</v>
      </c>
      <c r="M39" s="19">
        <v>0</v>
      </c>
      <c r="N39" s="19">
        <v>6.5</v>
      </c>
      <c r="O39" s="19">
        <v>0</v>
      </c>
      <c r="P39" s="19">
        <v>0</v>
      </c>
      <c r="Q39" s="19">
        <v>0</v>
      </c>
      <c r="R39" s="19">
        <v>0</v>
      </c>
      <c r="S39" s="19">
        <v>0</v>
      </c>
      <c r="T39" s="19">
        <v>0</v>
      </c>
      <c r="U39" s="19">
        <v>0</v>
      </c>
      <c r="V39" s="19">
        <v>0</v>
      </c>
      <c r="W39" s="19"/>
      <c r="X39" s="19"/>
      <c r="Y39" s="19"/>
    </row>
    <row r="40" spans="1:25" s="16" customFormat="1" x14ac:dyDescent="0.2">
      <c r="A40" s="18" t="s">
        <v>13</v>
      </c>
      <c r="B40" s="19">
        <v>1046.998</v>
      </c>
      <c r="C40" s="19">
        <v>1049</v>
      </c>
      <c r="D40" s="19">
        <v>1055</v>
      </c>
      <c r="E40" s="19">
        <f>703+300</f>
        <v>1003</v>
      </c>
      <c r="F40" s="19">
        <f>F41-275-F39</f>
        <v>710.91293199999996</v>
      </c>
      <c r="G40" s="19">
        <v>712.81215499999996</v>
      </c>
      <c r="H40" s="19">
        <v>714.71106399999996</v>
      </c>
      <c r="I40" s="19">
        <f>714.805304</f>
        <v>714.80530399999998</v>
      </c>
      <c r="J40" s="19">
        <v>716.701863</v>
      </c>
      <c r="K40" s="19">
        <f>588+120</f>
        <v>708</v>
      </c>
      <c r="L40" s="19">
        <f>588+6.371</f>
        <v>594.37099999999998</v>
      </c>
      <c r="M40" s="19">
        <f>589.5+6.368</f>
        <v>595.86800000000005</v>
      </c>
      <c r="N40" s="19">
        <f>591+6.364</f>
        <v>597.36400000000003</v>
      </c>
      <c r="O40" s="19">
        <f>592.5+6.361</f>
        <v>598.86099999999999</v>
      </c>
      <c r="P40" s="19">
        <f>594+6.358</f>
        <v>600.35799999999995</v>
      </c>
      <c r="Q40" s="19">
        <f>361.809+4.342</f>
        <v>366.15100000000001</v>
      </c>
      <c r="R40" s="19">
        <f>392.806+4.339</f>
        <v>397.14499999999998</v>
      </c>
      <c r="S40" s="19">
        <f>393.803+4.169</f>
        <v>397.97199999999998</v>
      </c>
      <c r="T40" s="19">
        <v>398.78800000000001</v>
      </c>
      <c r="U40" s="19">
        <f>492.205+13.55-150</f>
        <v>355.755</v>
      </c>
      <c r="V40" s="19">
        <f>342.102+13.55</f>
        <v>355.65199999999999</v>
      </c>
      <c r="W40" s="19"/>
      <c r="X40" s="19"/>
      <c r="Y40" s="19"/>
    </row>
    <row r="41" spans="1:25" s="16" customFormat="1" x14ac:dyDescent="0.2">
      <c r="A41" s="18" t="s">
        <v>12</v>
      </c>
      <c r="B41" s="19">
        <f>B39+B40+250</f>
        <v>1296.998</v>
      </c>
      <c r="C41" s="19">
        <f>C39+C40+250</f>
        <v>1299</v>
      </c>
      <c r="D41" s="19">
        <f>D39+D40+250+2</f>
        <v>1307</v>
      </c>
      <c r="E41" s="19">
        <f>+E39+E40+250+6</f>
        <v>1259</v>
      </c>
      <c r="F41" s="19">
        <v>985.91293199999996</v>
      </c>
      <c r="G41" s="19">
        <f>G39+G40+275</f>
        <v>987.81215499999996</v>
      </c>
      <c r="H41" s="19">
        <f>H39+H40+275</f>
        <v>989.71106399999996</v>
      </c>
      <c r="I41" s="19">
        <f>I39+I40+275</f>
        <v>989.80530399999998</v>
      </c>
      <c r="J41" s="19">
        <f>J39+J40+275</f>
        <v>991.701863</v>
      </c>
      <c r="K41" s="19">
        <f>K39+K40+275+5.8</f>
        <v>988.8</v>
      </c>
      <c r="L41" s="19">
        <f>L39+L40+5.819</f>
        <v>600.18999999999994</v>
      </c>
      <c r="M41" s="19">
        <f>M39+M40+5.913</f>
        <v>601.78100000000006</v>
      </c>
      <c r="N41" s="19">
        <f>N39+N40+6.006</f>
        <v>609.87</v>
      </c>
      <c r="O41" s="19">
        <f>O39+O40+6.098</f>
        <v>604.95899999999995</v>
      </c>
      <c r="P41" s="19">
        <f>P39+P40+6.19</f>
        <v>606.548</v>
      </c>
      <c r="Q41" s="19">
        <f>Q39+Q40+150+6.281</f>
        <v>522.43200000000002</v>
      </c>
      <c r="R41" s="19">
        <f>R39+R40+150+6.37</f>
        <v>553.51499999999999</v>
      </c>
      <c r="S41" s="19">
        <f>S39+S40+150+3.299</f>
        <v>551.27099999999996</v>
      </c>
      <c r="T41" s="19">
        <f>T39+T40+150+3.525</f>
        <v>552.31299999999999</v>
      </c>
      <c r="U41" s="19">
        <f>U39+U40+150</f>
        <v>505.755</v>
      </c>
      <c r="V41" s="19">
        <f>V39+V40+150</f>
        <v>505.65199999999999</v>
      </c>
      <c r="W41" s="19"/>
      <c r="X41" s="19"/>
      <c r="Y41" s="19"/>
    </row>
    <row r="42" spans="1:25" s="16" customFormat="1" x14ac:dyDescent="0.2">
      <c r="A42" s="18" t="s">
        <v>11</v>
      </c>
      <c r="B42" s="17">
        <v>433</v>
      </c>
      <c r="C42" s="17">
        <v>433</v>
      </c>
      <c r="D42" s="17">
        <v>433</v>
      </c>
      <c r="E42" s="17">
        <v>433</v>
      </c>
      <c r="F42" s="17">
        <v>433</v>
      </c>
      <c r="G42" s="17">
        <v>433</v>
      </c>
      <c r="H42" s="17">
        <v>433</v>
      </c>
      <c r="I42" s="17">
        <v>433</v>
      </c>
      <c r="J42" s="17">
        <v>433</v>
      </c>
      <c r="K42" s="17">
        <v>433</v>
      </c>
      <c r="L42" s="17">
        <v>433</v>
      </c>
      <c r="M42" s="17">
        <v>433</v>
      </c>
      <c r="N42" s="17">
        <v>433</v>
      </c>
      <c r="O42" s="17">
        <v>433</v>
      </c>
      <c r="P42" s="17">
        <v>433</v>
      </c>
      <c r="Q42" s="17">
        <v>433</v>
      </c>
      <c r="R42" s="17">
        <v>433</v>
      </c>
      <c r="S42" s="17">
        <v>433</v>
      </c>
      <c r="T42" s="17">
        <v>433</v>
      </c>
      <c r="U42" s="17">
        <v>433</v>
      </c>
      <c r="V42" s="17">
        <v>433</v>
      </c>
      <c r="W42" s="17"/>
      <c r="X42" s="17"/>
      <c r="Y42" s="17"/>
    </row>
    <row r="43" spans="1:25" x14ac:dyDescent="0.2">
      <c r="B43" s="11"/>
      <c r="C43" s="11"/>
      <c r="D43" s="11"/>
      <c r="E43" s="11"/>
      <c r="F43" s="11"/>
      <c r="G43" s="11"/>
      <c r="H43" s="16"/>
      <c r="I43" s="16"/>
      <c r="J43" s="16"/>
      <c r="K43" s="16"/>
      <c r="L43" s="16"/>
      <c r="M43" s="16"/>
      <c r="N43" s="11"/>
      <c r="O43" s="16"/>
      <c r="P43" s="11"/>
      <c r="Q43" s="16"/>
      <c r="R43" s="16"/>
      <c r="S43" s="16"/>
      <c r="T43" s="16"/>
    </row>
    <row r="44" spans="1:25" x14ac:dyDescent="0.2">
      <c r="A44" s="15" t="s">
        <v>10</v>
      </c>
      <c r="B44" s="14">
        <v>87.908000000000001</v>
      </c>
      <c r="C44" s="14">
        <v>64.713999999999999</v>
      </c>
      <c r="D44" s="14">
        <v>53</v>
      </c>
      <c r="E44" s="14">
        <v>23</v>
      </c>
      <c r="F44" s="14">
        <v>53.992336000000002</v>
      </c>
      <c r="G44" s="14">
        <v>36.923397999999999</v>
      </c>
      <c r="H44" s="14">
        <v>26.080387999999999</v>
      </c>
      <c r="I44" s="14">
        <v>21.364297000000001</v>
      </c>
      <c r="J44" s="14">
        <v>6.8730000000000002</v>
      </c>
      <c r="K44" s="14">
        <v>22.2</v>
      </c>
      <c r="L44" s="14">
        <v>34.738999999999997</v>
      </c>
      <c r="M44" s="14">
        <v>20.54</v>
      </c>
      <c r="N44" s="14">
        <v>10.943</v>
      </c>
      <c r="O44" s="14">
        <v>19.552</v>
      </c>
      <c r="P44" s="14">
        <v>14.994999999999999</v>
      </c>
      <c r="Q44" s="14">
        <v>16.564</v>
      </c>
      <c r="R44" s="14">
        <v>30.013000000000062</v>
      </c>
      <c r="S44" s="14">
        <v>26.991000000000064</v>
      </c>
      <c r="T44" s="14">
        <v>17.873000000000065</v>
      </c>
      <c r="U44" s="14">
        <v>19.604000000000074</v>
      </c>
      <c r="V44" s="14">
        <v>12.695000000000075</v>
      </c>
      <c r="W44" s="14"/>
      <c r="X44" s="14"/>
      <c r="Y44" s="14"/>
    </row>
    <row r="46" spans="1:25" x14ac:dyDescent="0.2">
      <c r="A46" s="1" t="s">
        <v>9</v>
      </c>
      <c r="B46" s="11">
        <f t="shared" ref="B46:V46" si="37">SUM(B12:E12)</f>
        <v>1074.721</v>
      </c>
      <c r="C46" s="11">
        <f t="shared" si="37"/>
        <v>1062.9780000000001</v>
      </c>
      <c r="D46" s="11">
        <f t="shared" si="37"/>
        <v>1053.903</v>
      </c>
      <c r="E46" s="11">
        <f t="shared" si="37"/>
        <v>1047.7660000000001</v>
      </c>
      <c r="F46" s="11">
        <f t="shared" si="37"/>
        <v>1034.857</v>
      </c>
      <c r="G46" s="11">
        <f t="shared" si="37"/>
        <v>1020.9070000000002</v>
      </c>
      <c r="H46" s="11">
        <f t="shared" si="37"/>
        <v>1003.662</v>
      </c>
      <c r="I46" s="11">
        <f t="shared" si="37"/>
        <v>980.93</v>
      </c>
      <c r="J46" s="11">
        <f t="shared" si="37"/>
        <v>960.01800000000003</v>
      </c>
      <c r="K46" s="11">
        <f t="shared" si="37"/>
        <v>937.21499999999992</v>
      </c>
      <c r="L46" s="11">
        <f t="shared" si="37"/>
        <v>912.71800000000007</v>
      </c>
      <c r="M46" s="11">
        <f t="shared" si="37"/>
        <v>890.28199999999993</v>
      </c>
      <c r="N46" s="11">
        <f t="shared" si="37"/>
        <v>864.73199999999997</v>
      </c>
      <c r="O46" s="11">
        <f t="shared" si="37"/>
        <v>841.11899999999991</v>
      </c>
      <c r="P46" s="11">
        <f t="shared" si="37"/>
        <v>823.79399999999998</v>
      </c>
      <c r="Q46" s="11">
        <f t="shared" si="37"/>
        <v>809.96600000000001</v>
      </c>
      <c r="R46" s="11">
        <f t="shared" si="37"/>
        <v>790.46</v>
      </c>
      <c r="S46" s="11">
        <f t="shared" si="37"/>
        <v>767.43200000000002</v>
      </c>
      <c r="T46" s="11">
        <f t="shared" si="37"/>
        <v>737.13800000000003</v>
      </c>
      <c r="U46" s="11">
        <f t="shared" si="37"/>
        <v>687.90000000000009</v>
      </c>
      <c r="V46" s="11">
        <f t="shared" si="37"/>
        <v>664.33600000000001</v>
      </c>
    </row>
    <row r="47" spans="1:25" x14ac:dyDescent="0.2">
      <c r="A47" s="1" t="s">
        <v>8</v>
      </c>
      <c r="B47" s="11">
        <f t="shared" ref="B47" si="38">+B27</f>
        <v>178.71100000000001</v>
      </c>
      <c r="C47" s="11">
        <f t="shared" ref="C47:D47" si="39">+C27</f>
        <v>179.70500000000001</v>
      </c>
      <c r="D47" s="11">
        <f t="shared" si="39"/>
        <v>180</v>
      </c>
      <c r="E47" s="11">
        <f t="shared" ref="E47:F47" si="40">+E27</f>
        <v>176.75742199999999</v>
      </c>
      <c r="F47" s="11">
        <f t="shared" si="40"/>
        <v>168.72442899999999</v>
      </c>
      <c r="G47" s="11">
        <f t="shared" ref="G47:H47" si="41">+G27</f>
        <v>161.120338</v>
      </c>
      <c r="H47" s="11">
        <f t="shared" si="41"/>
        <v>150.61885000000001</v>
      </c>
      <c r="I47" s="11">
        <f t="shared" ref="I47:J47" si="42">+I27</f>
        <v>149.60210599999999</v>
      </c>
      <c r="J47" s="11">
        <f t="shared" si="42"/>
        <v>148.16655399999999</v>
      </c>
      <c r="K47" s="11">
        <f t="shared" ref="K47:L47" si="43">+K27</f>
        <v>142.41398899999999</v>
      </c>
      <c r="L47" s="11">
        <f t="shared" si="43"/>
        <v>137.485883</v>
      </c>
      <c r="M47" s="11">
        <f t="shared" ref="M47:V47" si="44">+M27</f>
        <v>131.68011999999999</v>
      </c>
      <c r="N47" s="11">
        <f t="shared" si="44"/>
        <v>124.31190700000001</v>
      </c>
      <c r="O47" s="11">
        <f t="shared" si="44"/>
        <v>121.466899</v>
      </c>
      <c r="P47" s="11">
        <f t="shared" si="44"/>
        <v>119.21098000000001</v>
      </c>
      <c r="Q47" s="11">
        <f t="shared" si="44"/>
        <v>107.875</v>
      </c>
      <c r="R47" s="11">
        <f t="shared" si="44"/>
        <v>106.642</v>
      </c>
      <c r="S47" s="11">
        <f t="shared" si="44"/>
        <v>104.70699999999999</v>
      </c>
      <c r="T47" s="11">
        <f t="shared" si="44"/>
        <v>96.772999999999996</v>
      </c>
      <c r="U47" s="11">
        <f t="shared" si="44"/>
        <v>87.52000000000001</v>
      </c>
      <c r="V47" s="11">
        <f t="shared" si="44"/>
        <v>81.092999999999989</v>
      </c>
    </row>
    <row r="48" spans="1:25" x14ac:dyDescent="0.2">
      <c r="A48" s="1" t="s">
        <v>7</v>
      </c>
      <c r="B48" s="11">
        <f t="shared" ref="B48:V48" si="45">+SUM(B37:E37)</f>
        <v>119.00299999999999</v>
      </c>
      <c r="C48" s="11">
        <f t="shared" si="45"/>
        <v>109.191</v>
      </c>
      <c r="D48" s="11">
        <f t="shared" si="45"/>
        <v>108.086</v>
      </c>
      <c r="E48" s="11">
        <f t="shared" si="45"/>
        <v>96.952000000000012</v>
      </c>
      <c r="F48" s="11">
        <f t="shared" si="45"/>
        <v>74.49499999999999</v>
      </c>
      <c r="G48" s="11">
        <f t="shared" si="45"/>
        <v>71.652999999999992</v>
      </c>
      <c r="H48" s="11">
        <f t="shared" si="45"/>
        <v>68.478999999999999</v>
      </c>
      <c r="I48" s="11">
        <f t="shared" si="45"/>
        <v>110.181</v>
      </c>
      <c r="J48" s="11">
        <f t="shared" si="45"/>
        <v>108.30900000000001</v>
      </c>
      <c r="K48" s="11">
        <f t="shared" si="45"/>
        <v>64.471000000000004</v>
      </c>
      <c r="L48" s="11">
        <f t="shared" si="45"/>
        <v>58.695000000000007</v>
      </c>
      <c r="M48" s="11">
        <f t="shared" si="45"/>
        <v>7.9470000000000001</v>
      </c>
      <c r="N48" s="11">
        <f t="shared" si="45"/>
        <v>10.620999999999999</v>
      </c>
      <c r="O48" s="11">
        <f t="shared" si="45"/>
        <v>57.078000000000003</v>
      </c>
      <c r="P48" s="11">
        <f t="shared" si="45"/>
        <v>62.281999999999996</v>
      </c>
      <c r="Q48" s="11">
        <f t="shared" si="45"/>
        <v>64.040999999999997</v>
      </c>
      <c r="R48" s="11">
        <f t="shared" si="45"/>
        <v>51.286999999999999</v>
      </c>
      <c r="S48" s="11">
        <f t="shared" si="45"/>
        <v>45.582999999999998</v>
      </c>
      <c r="T48" s="11">
        <f t="shared" si="45"/>
        <v>40.286999999999999</v>
      </c>
      <c r="U48" s="11">
        <f t="shared" si="45"/>
        <v>38.138999999999996</v>
      </c>
      <c r="V48" s="11">
        <f t="shared" si="45"/>
        <v>35.118000000000002</v>
      </c>
    </row>
    <row r="50" spans="1:25" s="10" customFormat="1" x14ac:dyDescent="0.2">
      <c r="A50" s="10" t="s">
        <v>6</v>
      </c>
      <c r="B50" s="10">
        <f t="shared" ref="B50" si="46">+SUM(B39:B40)/B47</f>
        <v>5.858609710650156</v>
      </c>
      <c r="C50" s="10">
        <f t="shared" ref="C50:D50" si="47">+SUM(C39:C40)/C47</f>
        <v>5.8373445368798862</v>
      </c>
      <c r="D50" s="10">
        <f t="shared" si="47"/>
        <v>5.8611111111111107</v>
      </c>
      <c r="E50" s="10">
        <f t="shared" ref="E50:F50" si="48">+SUM(E39:E40)/E47</f>
        <v>5.6744434754202286</v>
      </c>
      <c r="F50" s="10">
        <f t="shared" si="48"/>
        <v>4.2134558475820949</v>
      </c>
      <c r="G50" s="10">
        <f t="shared" ref="G50:H50" si="49">+SUM(G39:G40)/G47</f>
        <v>4.4240979372821325</v>
      </c>
      <c r="H50" s="10">
        <f t="shared" si="49"/>
        <v>4.7451634639356222</v>
      </c>
      <c r="I50" s="10">
        <f t="shared" ref="I50:J50" si="50">+SUM(I39:I40)/I47</f>
        <v>4.7780430577628366</v>
      </c>
      <c r="J50" s="10">
        <f t="shared" si="50"/>
        <v>4.8371366118159163</v>
      </c>
      <c r="K50" s="10">
        <f t="shared" ref="K50:L50" si="51">+SUM(K39:K40)/K47</f>
        <v>4.971421733015287</v>
      </c>
      <c r="L50" s="10">
        <f t="shared" si="51"/>
        <v>4.3231420348807736</v>
      </c>
      <c r="M50" s="10">
        <f t="shared" ref="M50:V50" si="52">+SUM(M39:M40)/M47</f>
        <v>4.525117382942847</v>
      </c>
      <c r="N50" s="10">
        <f t="shared" si="52"/>
        <v>4.8576521314245467</v>
      </c>
      <c r="O50" s="10">
        <f t="shared" si="52"/>
        <v>4.9302402953416964</v>
      </c>
      <c r="P50" s="10">
        <f t="shared" si="52"/>
        <v>5.0360965072177066</v>
      </c>
      <c r="Q50" s="10">
        <f t="shared" si="52"/>
        <v>3.3942155272305912</v>
      </c>
      <c r="R50" s="10">
        <f t="shared" si="52"/>
        <v>3.7240955721010485</v>
      </c>
      <c r="S50" s="10">
        <f t="shared" si="52"/>
        <v>3.8008156092715866</v>
      </c>
      <c r="T50" s="10">
        <f t="shared" si="52"/>
        <v>4.1208601572752732</v>
      </c>
      <c r="U50" s="10">
        <f t="shared" si="52"/>
        <v>4.0648423217550267</v>
      </c>
      <c r="V50" s="10">
        <f t="shared" si="52"/>
        <v>4.3857299643619063</v>
      </c>
    </row>
    <row r="51" spans="1:25" s="10" customFormat="1" x14ac:dyDescent="0.2">
      <c r="A51" s="10" t="s">
        <v>5</v>
      </c>
      <c r="B51" s="10">
        <f t="shared" ref="B51" si="53">+B41/B47</f>
        <v>7.257516325240192</v>
      </c>
      <c r="C51" s="10">
        <f t="shared" ref="C51:D51" si="54">+C41/C47</f>
        <v>7.2285133969561217</v>
      </c>
      <c r="D51" s="10">
        <f t="shared" si="54"/>
        <v>7.2611111111111111</v>
      </c>
      <c r="E51" s="10">
        <f t="shared" ref="E51:F51" si="55">+E41/E47</f>
        <v>7.1227560673520127</v>
      </c>
      <c r="F51" s="10">
        <f t="shared" si="55"/>
        <v>5.8433324554324022</v>
      </c>
      <c r="G51" s="10">
        <f t="shared" ref="G51:H51" si="56">+G41/G47</f>
        <v>6.1308967400502841</v>
      </c>
      <c r="H51" s="10">
        <f t="shared" si="56"/>
        <v>6.5709641522292852</v>
      </c>
      <c r="I51" s="10">
        <f t="shared" ref="I51:J51" si="57">+I41/I47</f>
        <v>6.6162524744136961</v>
      </c>
      <c r="J51" s="10">
        <f t="shared" si="57"/>
        <v>6.6931560208925429</v>
      </c>
      <c r="K51" s="10">
        <f t="shared" ref="K51:L51" si="58">+K41/K47</f>
        <v>6.9431381491603332</v>
      </c>
      <c r="L51" s="10">
        <f t="shared" si="58"/>
        <v>4.3654663802828395</v>
      </c>
      <c r="M51" s="10">
        <f t="shared" ref="M51:V51" si="59">+M41/M47</f>
        <v>4.5700216555088202</v>
      </c>
      <c r="N51" s="10">
        <f t="shared" si="59"/>
        <v>4.905966087383729</v>
      </c>
      <c r="O51" s="10">
        <f t="shared" si="59"/>
        <v>4.9804432728623453</v>
      </c>
      <c r="P51" s="10">
        <f t="shared" si="59"/>
        <v>5.088021254418007</v>
      </c>
      <c r="Q51" s="10">
        <f t="shared" si="59"/>
        <v>4.8429385863267669</v>
      </c>
      <c r="R51" s="10">
        <f t="shared" si="59"/>
        <v>5.1904034057875883</v>
      </c>
      <c r="S51" s="10">
        <f t="shared" si="59"/>
        <v>5.2648915545283508</v>
      </c>
      <c r="T51" s="10">
        <f t="shared" si="59"/>
        <v>5.7073047234249223</v>
      </c>
      <c r="U51" s="10">
        <f t="shared" si="59"/>
        <v>5.778736288848263</v>
      </c>
      <c r="V51" s="10">
        <f t="shared" si="59"/>
        <v>6.2354580543326801</v>
      </c>
    </row>
    <row r="52" spans="1:25" s="10" customFormat="1" x14ac:dyDescent="0.2">
      <c r="A52" s="10" t="s">
        <v>4</v>
      </c>
      <c r="B52" s="10">
        <f t="shared" ref="B52" si="60">+(B41-B44)/B47</f>
        <v>6.7656159945386687</v>
      </c>
      <c r="C52" s="10">
        <f t="shared" ref="C52:D52" si="61">+(C41-C44)/C47</f>
        <v>6.8684009905122281</v>
      </c>
      <c r="D52" s="10">
        <f t="shared" si="61"/>
        <v>6.9666666666666668</v>
      </c>
      <c r="E52" s="10">
        <f t="shared" ref="E52:F52" si="62">+(E41-E44)/E47</f>
        <v>6.9926342329206408</v>
      </c>
      <c r="F52" s="10">
        <f t="shared" si="62"/>
        <v>5.5233293810702424</v>
      </c>
      <c r="G52" s="10">
        <f t="shared" ref="G52:H52" si="63">+(G41-G44)/G47</f>
        <v>5.9017301527756221</v>
      </c>
      <c r="H52" s="10">
        <f t="shared" si="63"/>
        <v>6.3978092781879559</v>
      </c>
      <c r="I52" s="10">
        <f t="shared" ref="I52:J52" si="64">+(I41-I44)/I47</f>
        <v>6.4734450128663301</v>
      </c>
      <c r="J52" s="10">
        <f t="shared" si="64"/>
        <v>6.6467690339886021</v>
      </c>
      <c r="K52" s="10">
        <f t="shared" ref="K52:L52" si="65">+(K41-K44)/K47</f>
        <v>6.7872545863454468</v>
      </c>
      <c r="L52" s="10">
        <f t="shared" si="65"/>
        <v>4.112793165826341</v>
      </c>
      <c r="M52" s="10">
        <f t="shared" ref="M52:V52" si="66">+(M41-M44)/M47</f>
        <v>4.4140375935258875</v>
      </c>
      <c r="N52" s="10">
        <f t="shared" si="66"/>
        <v>4.8179375126149422</v>
      </c>
      <c r="O52" s="10">
        <f t="shared" si="66"/>
        <v>4.8194776092867899</v>
      </c>
      <c r="P52" s="10">
        <f t="shared" si="66"/>
        <v>4.962235861159769</v>
      </c>
      <c r="Q52" s="10">
        <f t="shared" si="66"/>
        <v>4.6893904982618775</v>
      </c>
      <c r="R52" s="10">
        <f t="shared" si="66"/>
        <v>4.9089664484912134</v>
      </c>
      <c r="S52" s="10">
        <f t="shared" si="66"/>
        <v>5.0071150925917074</v>
      </c>
      <c r="T52" s="10">
        <f t="shared" si="66"/>
        <v>5.5226147789156066</v>
      </c>
      <c r="U52" s="10">
        <f t="shared" si="66"/>
        <v>5.5547417733089564</v>
      </c>
      <c r="V52" s="10">
        <f t="shared" si="66"/>
        <v>6.0789094003181532</v>
      </c>
    </row>
    <row r="53" spans="1:25" s="6" customFormat="1" x14ac:dyDescent="0.2">
      <c r="A53" s="6" t="s">
        <v>3</v>
      </c>
      <c r="B53" s="6">
        <f t="shared" ref="B53" si="67">+B48/B41</f>
        <v>9.1752647266996543E-2</v>
      </c>
      <c r="C53" s="6">
        <f t="shared" ref="C53:D53" si="68">+C48/C41</f>
        <v>8.4057736720554277E-2</v>
      </c>
      <c r="D53" s="6">
        <f t="shared" si="68"/>
        <v>8.2697781178270854E-2</v>
      </c>
      <c r="E53" s="6">
        <f t="shared" ref="E53:F53" si="69">+E48/E41</f>
        <v>7.7007148530579841E-2</v>
      </c>
      <c r="F53" s="6">
        <f t="shared" si="69"/>
        <v>7.555941055452145E-2</v>
      </c>
      <c r="G53" s="6">
        <f t="shared" ref="G53:H53" si="70">+G48/G41</f>
        <v>7.2537070572896517E-2</v>
      </c>
      <c r="H53" s="6">
        <f t="shared" si="70"/>
        <v>6.9190900749594941E-2</v>
      </c>
      <c r="I53" s="6">
        <f t="shared" ref="I53:J53" si="71">+I48/I41</f>
        <v>0.11131583105761979</v>
      </c>
      <c r="J53" s="6">
        <f t="shared" si="71"/>
        <v>0.10921528338401439</v>
      </c>
      <c r="K53" s="6">
        <f t="shared" ref="K53:L53" si="72">+K48/K41</f>
        <v>6.5201254045307452E-2</v>
      </c>
      <c r="L53" s="6">
        <f t="shared" si="72"/>
        <v>9.7794031889901559E-2</v>
      </c>
      <c r="M53" s="6">
        <f t="shared" ref="M53:V53" si="73">+M48/M41</f>
        <v>1.3205800781347365E-2</v>
      </c>
      <c r="N53" s="6">
        <f t="shared" si="73"/>
        <v>1.7415186843097705E-2</v>
      </c>
      <c r="O53" s="6">
        <f t="shared" si="73"/>
        <v>9.4350195633092507E-2</v>
      </c>
      <c r="P53" s="6">
        <f t="shared" si="73"/>
        <v>0.10268272255452164</v>
      </c>
      <c r="Q53" s="6">
        <f t="shared" si="73"/>
        <v>0.12258246049246599</v>
      </c>
      <c r="R53" s="6">
        <f t="shared" si="73"/>
        <v>9.2656928899849153E-2</v>
      </c>
      <c r="S53" s="6">
        <f t="shared" si="73"/>
        <v>8.2687099448365692E-2</v>
      </c>
      <c r="T53" s="6">
        <f t="shared" si="73"/>
        <v>7.2942335233825747E-2</v>
      </c>
      <c r="U53" s="6">
        <f t="shared" si="73"/>
        <v>7.5410030548388046E-2</v>
      </c>
      <c r="V53" s="6">
        <f t="shared" si="73"/>
        <v>6.9450926724308429E-2</v>
      </c>
    </row>
    <row r="54" spans="1:25" s="6" customFormat="1" x14ac:dyDescent="0.2">
      <c r="A54" s="8" t="s">
        <v>2</v>
      </c>
      <c r="B54" s="9"/>
      <c r="C54" s="9"/>
      <c r="D54" s="9"/>
      <c r="E54" s="9"/>
      <c r="F54" s="9"/>
      <c r="G54" s="9"/>
      <c r="H54" s="9"/>
      <c r="I54" s="9"/>
      <c r="J54" s="9"/>
      <c r="K54" s="9"/>
      <c r="L54" s="9"/>
      <c r="M54" s="9"/>
      <c r="N54" s="9"/>
      <c r="O54" s="9"/>
      <c r="P54" s="9"/>
      <c r="Q54" s="9"/>
      <c r="R54" s="9"/>
      <c r="S54" s="9"/>
      <c r="T54" s="9"/>
      <c r="U54" s="9"/>
      <c r="V54" s="9"/>
      <c r="W54" s="8"/>
      <c r="X54" s="8"/>
      <c r="Y54" s="8"/>
    </row>
    <row r="55" spans="1:25" s="6" customFormat="1" x14ac:dyDescent="0.2">
      <c r="A55" s="6" t="s">
        <v>1</v>
      </c>
      <c r="B55" s="7">
        <f t="shared" ref="B55" si="74">IF(B42=0,IF(B54="","","*"&amp;TEXT(B54,"0.0x")),(B41+B42-B44)/B47)</f>
        <v>9.188522251008612</v>
      </c>
      <c r="C55" s="7">
        <f t="shared" ref="C55:D55" si="75">IF(C42=0,IF(C54="","","*"&amp;TEXT(C54,"0.0x")),(C41+C42-C44)/C47)</f>
        <v>9.2779054561642695</v>
      </c>
      <c r="D55" s="7">
        <f t="shared" si="75"/>
        <v>9.3722222222222218</v>
      </c>
      <c r="E55" s="7">
        <f t="shared" ref="E55:F55" si="76">IF(E42=0,IF(E54="","","*"&amp;TEXT(E54,"0.0x")),(E41+E42-E44)/E47)</f>
        <v>9.4423192028677594</v>
      </c>
      <c r="F55" s="7">
        <f t="shared" si="76"/>
        <v>8.0896441854309078</v>
      </c>
      <c r="G55" s="7">
        <f t="shared" ref="G55:H55" si="77">IF(G42=0,IF(G54="","","*"&amp;TEXT(G54,"0.0x")),(G41+G42-G44)/G47)</f>
        <v>8.5891624494978416</v>
      </c>
      <c r="H55" s="7">
        <f t="shared" si="77"/>
        <v>9.2726154528467042</v>
      </c>
      <c r="I55" s="7">
        <f t="shared" ref="I55:J55" si="78">IF(I42=0,IF(I54="","","*"&amp;TEXT(I54,"0.0x")),(I41+I42-I44)/I47)</f>
        <v>9.3677892943565908</v>
      </c>
      <c r="J55" s="7">
        <f t="shared" si="78"/>
        <v>9.5691559580983441</v>
      </c>
      <c r="K55" s="7">
        <f t="shared" ref="K55:L55" si="79">IF(K42=0,IF(K54="","","*"&amp;TEXT(K54,"0.0x")),(K41+K42-K44)/K47)</f>
        <v>9.8276862394466047</v>
      </c>
      <c r="L55" s="7">
        <f t="shared" si="79"/>
        <v>7.2622074224158712</v>
      </c>
      <c r="M55" s="7">
        <f t="shared" ref="M55:V55" si="80">IF(M42=0,IF(M54="","","*"&amp;TEXT(M54,"0.0x")),(M41+M42-M44)/M47)</f>
        <v>7.7023092020268518</v>
      </c>
      <c r="N55" s="7">
        <f t="shared" si="80"/>
        <v>8.3011114936882109</v>
      </c>
      <c r="O55" s="7">
        <f t="shared" si="80"/>
        <v>8.3842347864663918</v>
      </c>
      <c r="P55" s="7">
        <f t="shared" si="80"/>
        <v>8.5944516184666888</v>
      </c>
      <c r="Q55" s="7">
        <f t="shared" si="80"/>
        <v>8.7032954808806497</v>
      </c>
      <c r="R55" s="7">
        <f t="shared" si="80"/>
        <v>8.9692803960915963</v>
      </c>
      <c r="S55" s="7">
        <f t="shared" si="80"/>
        <v>9.1424642096516937</v>
      </c>
      <c r="T55" s="7">
        <f t="shared" si="80"/>
        <v>9.9970032963739879</v>
      </c>
      <c r="U55" s="7">
        <f t="shared" si="80"/>
        <v>10.502182358318096</v>
      </c>
      <c r="V55" s="7">
        <f t="shared" si="80"/>
        <v>11.41845782003379</v>
      </c>
      <c r="W55" s="7" t="str">
        <f>IF(W42=0,IF(W54="","",CONCATENATE("* ",W54,"x")),(W41+W42-W44)/W47)</f>
        <v/>
      </c>
      <c r="X55" s="7" t="str">
        <f>IF(X42=0,IF(X54="","",CONCATENATE("* ",X54,"x")),(X41+X42-X44)/X47)</f>
        <v/>
      </c>
      <c r="Y55" s="7" t="str">
        <f>IF(Y42=0,IF(Y54="","",CONCATENATE("* ",Y54,"x")),(Y41+Y42-Y44)/Y47)</f>
        <v/>
      </c>
    </row>
    <row r="56" spans="1:25" x14ac:dyDescent="0.2">
      <c r="V56" s="3"/>
    </row>
    <row r="57" spans="1:25" ht="80.25" customHeight="1" x14ac:dyDescent="0.2">
      <c r="A57" s="5" t="s">
        <v>0</v>
      </c>
      <c r="B57" s="4" t="s">
        <v>104</v>
      </c>
      <c r="C57" s="4" t="s">
        <v>235</v>
      </c>
      <c r="D57" s="4" t="s">
        <v>235</v>
      </c>
      <c r="E57" s="4" t="s">
        <v>235</v>
      </c>
      <c r="F57" s="4" t="s">
        <v>235</v>
      </c>
      <c r="G57" s="4" t="s">
        <v>235</v>
      </c>
      <c r="H57" s="4" t="s">
        <v>235</v>
      </c>
      <c r="I57" s="4" t="s">
        <v>235</v>
      </c>
      <c r="J57" s="4" t="s">
        <v>235</v>
      </c>
      <c r="K57" s="4" t="s">
        <v>249</v>
      </c>
      <c r="L57" s="4"/>
      <c r="M57" s="4"/>
      <c r="N57" s="4"/>
      <c r="O57" s="4"/>
      <c r="P57" s="4"/>
      <c r="Q57" s="4"/>
      <c r="R57" s="4"/>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L24:M24 U24:V26 U46:V47" formulaRange="1"/>
  </ignoredError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D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23" sqref="B23"/>
    </sheetView>
  </sheetViews>
  <sheetFormatPr defaultRowHeight="12.75" x14ac:dyDescent="0.2"/>
  <cols>
    <col min="1" max="1" width="22.7109375" style="1" customWidth="1"/>
    <col min="2" max="16" width="10.7109375" style="1" customWidth="1"/>
    <col min="17" max="16384" width="9.140625" style="1"/>
  </cols>
  <sheetData>
    <row r="2" spans="1:16" x14ac:dyDescent="0.2">
      <c r="A2" s="34" t="s">
        <v>45</v>
      </c>
      <c r="B2" s="1" t="s">
        <v>149</v>
      </c>
    </row>
    <row r="3" spans="1:16" s="35" customFormat="1" x14ac:dyDescent="0.2">
      <c r="A3" s="36" t="s">
        <v>43</v>
      </c>
      <c r="B3" s="35" t="s">
        <v>148</v>
      </c>
    </row>
    <row r="4" spans="1:16" x14ac:dyDescent="0.2">
      <c r="A4" s="34" t="s">
        <v>41</v>
      </c>
      <c r="B4" s="1" t="s">
        <v>40</v>
      </c>
    </row>
    <row r="5" spans="1:16" x14ac:dyDescent="0.2">
      <c r="A5" s="34" t="s">
        <v>39</v>
      </c>
    </row>
    <row r="6" spans="1:16" x14ac:dyDescent="0.2">
      <c r="A6" s="34" t="s">
        <v>38</v>
      </c>
      <c r="B6" s="1">
        <v>3</v>
      </c>
    </row>
    <row r="7" spans="1:16" x14ac:dyDescent="0.2">
      <c r="A7" s="34" t="s">
        <v>37</v>
      </c>
      <c r="B7" s="1" t="s">
        <v>173</v>
      </c>
    </row>
    <row r="8" spans="1:16" x14ac:dyDescent="0.2">
      <c r="A8" s="34" t="s">
        <v>281</v>
      </c>
      <c r="B8" s="1" t="s">
        <v>301</v>
      </c>
    </row>
    <row r="9" spans="1:16" x14ac:dyDescent="0.2">
      <c r="A9" s="22"/>
    </row>
    <row r="10" spans="1:16" x14ac:dyDescent="0.2">
      <c r="A10" s="22" t="s">
        <v>36</v>
      </c>
      <c r="B10" s="33">
        <v>43738</v>
      </c>
      <c r="C10" s="33">
        <v>43646</v>
      </c>
      <c r="D10" s="33">
        <v>43555</v>
      </c>
      <c r="E10" s="33">
        <v>43465</v>
      </c>
      <c r="F10" s="33">
        <v>43373</v>
      </c>
      <c r="G10" s="33">
        <v>43281</v>
      </c>
      <c r="H10" s="33">
        <v>43190</v>
      </c>
      <c r="I10" s="33">
        <v>43100</v>
      </c>
      <c r="J10" s="33">
        <f t="shared" ref="J10:P10" si="0">EOMONTH(I10,-3)</f>
        <v>43008</v>
      </c>
      <c r="K10" s="33">
        <f t="shared" si="0"/>
        <v>42916</v>
      </c>
      <c r="L10" s="33">
        <f t="shared" si="0"/>
        <v>42825</v>
      </c>
      <c r="M10" s="33">
        <f t="shared" si="0"/>
        <v>42735</v>
      </c>
      <c r="N10" s="33">
        <f t="shared" si="0"/>
        <v>42643</v>
      </c>
      <c r="O10" s="33">
        <f t="shared" si="0"/>
        <v>42551</v>
      </c>
      <c r="P10" s="33">
        <f t="shared" si="0"/>
        <v>42460</v>
      </c>
    </row>
    <row r="12" spans="1:16" x14ac:dyDescent="0.2">
      <c r="A12" s="15" t="s">
        <v>35</v>
      </c>
      <c r="B12" s="19">
        <v>108.3</v>
      </c>
      <c r="C12" s="19">
        <v>106.69999999999999</v>
      </c>
      <c r="D12" s="19">
        <v>100.6</v>
      </c>
      <c r="E12" s="19">
        <f>429.1-F12-G12-H12</f>
        <v>117.70000000000002</v>
      </c>
      <c r="F12" s="19">
        <v>104.5</v>
      </c>
      <c r="G12" s="19">
        <v>106.8</v>
      </c>
      <c r="H12" s="19">
        <v>100.1</v>
      </c>
      <c r="I12" s="19">
        <v>115.85500000000002</v>
      </c>
      <c r="J12" s="19">
        <v>103.1</v>
      </c>
      <c r="K12" s="19">
        <v>104.5</v>
      </c>
      <c r="L12" s="19">
        <v>91.8</v>
      </c>
      <c r="M12" s="19"/>
      <c r="N12" s="19"/>
      <c r="O12" s="19"/>
      <c r="P12" s="19"/>
    </row>
    <row r="13" spans="1:16" s="28" customFormat="1" x14ac:dyDescent="0.2">
      <c r="A13" s="28" t="s">
        <v>34</v>
      </c>
      <c r="B13" s="28">
        <f t="shared" ref="B13:H13" si="1">+B12/F12-1</f>
        <v>3.6363636363636376E-2</v>
      </c>
      <c r="C13" s="28">
        <f t="shared" si="1"/>
        <v>-9.3632958801503907E-4</v>
      </c>
      <c r="D13" s="28">
        <f t="shared" si="1"/>
        <v>4.9950049950049369E-3</v>
      </c>
      <c r="E13" s="28">
        <f t="shared" si="1"/>
        <v>1.5925078762245803E-2</v>
      </c>
      <c r="F13" s="28">
        <f t="shared" si="1"/>
        <v>1.3579049466537318E-2</v>
      </c>
      <c r="G13" s="28">
        <f t="shared" si="1"/>
        <v>2.2009569377990479E-2</v>
      </c>
      <c r="H13" s="28">
        <f t="shared" si="1"/>
        <v>9.0413943355119875E-2</v>
      </c>
    </row>
    <row r="14" spans="1:16" s="23" customFormat="1" x14ac:dyDescent="0.2">
      <c r="A14" s="31" t="s">
        <v>33</v>
      </c>
      <c r="B14" s="32" t="s">
        <v>32</v>
      </c>
      <c r="C14" s="32" t="s">
        <v>32</v>
      </c>
      <c r="D14" s="32" t="s">
        <v>32</v>
      </c>
      <c r="E14" s="32" t="s">
        <v>32</v>
      </c>
      <c r="F14" s="32" t="s">
        <v>32</v>
      </c>
      <c r="G14" s="32" t="s">
        <v>32</v>
      </c>
      <c r="H14" s="32" t="s">
        <v>32</v>
      </c>
      <c r="I14" s="32"/>
      <c r="J14" s="32"/>
      <c r="K14" s="32"/>
      <c r="L14" s="32"/>
      <c r="M14" s="31"/>
      <c r="N14" s="31"/>
      <c r="O14" s="31"/>
      <c r="P14" s="31"/>
    </row>
    <row r="16" spans="1:16" s="22" customFormat="1" x14ac:dyDescent="0.2">
      <c r="A16" s="30" t="s">
        <v>31</v>
      </c>
      <c r="B16" s="29">
        <v>20.7</v>
      </c>
      <c r="C16" s="29">
        <v>19.5</v>
      </c>
      <c r="D16" s="29">
        <v>16.7</v>
      </c>
      <c r="E16" s="29">
        <v>24.799999999999997</v>
      </c>
      <c r="F16" s="29">
        <v>22</v>
      </c>
      <c r="G16" s="29">
        <v>21.2</v>
      </c>
      <c r="H16" s="29">
        <v>17</v>
      </c>
      <c r="I16" s="29">
        <v>26</v>
      </c>
      <c r="J16" s="29">
        <v>21.4</v>
      </c>
      <c r="K16" s="29">
        <v>21.7</v>
      </c>
      <c r="L16" s="29">
        <v>14.9</v>
      </c>
      <c r="M16" s="29"/>
      <c r="N16" s="29"/>
      <c r="O16" s="29"/>
      <c r="P16" s="29"/>
    </row>
    <row r="17" spans="1:16" s="28" customFormat="1" x14ac:dyDescent="0.2">
      <c r="A17" s="28" t="s">
        <v>30</v>
      </c>
      <c r="B17" s="28">
        <f t="shared" ref="B17:C17" si="2">+B16/B12</f>
        <v>0.19113573407202217</v>
      </c>
      <c r="C17" s="28">
        <f t="shared" si="2"/>
        <v>0.18275538894095597</v>
      </c>
      <c r="D17" s="28">
        <f t="shared" ref="D17:E17" si="3">+D16/D12</f>
        <v>0.16600397614314116</v>
      </c>
      <c r="E17" s="28">
        <f t="shared" si="3"/>
        <v>0.21070518266779945</v>
      </c>
      <c r="F17" s="28">
        <f t="shared" ref="F17:L17" si="4">+F16/F12</f>
        <v>0.21052631578947367</v>
      </c>
      <c r="G17" s="28">
        <f t="shared" si="4"/>
        <v>0.19850187265917602</v>
      </c>
      <c r="H17" s="28">
        <f t="shared" si="4"/>
        <v>0.16983016983016985</v>
      </c>
      <c r="I17" s="28">
        <f t="shared" si="4"/>
        <v>0.22441845410211037</v>
      </c>
      <c r="J17" s="28">
        <f t="shared" si="4"/>
        <v>0.2075654704170708</v>
      </c>
      <c r="K17" s="28">
        <f t="shared" si="4"/>
        <v>0.20765550239234448</v>
      </c>
      <c r="L17" s="28">
        <f t="shared" si="4"/>
        <v>0.16230936819172115</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c r="N19" s="19"/>
      <c r="O19" s="19"/>
      <c r="P19" s="19"/>
    </row>
    <row r="20" spans="1:16" s="23" customFormat="1" x14ac:dyDescent="0.2">
      <c r="A20" s="15" t="s">
        <v>28</v>
      </c>
      <c r="B20" s="19">
        <v>0</v>
      </c>
      <c r="C20" s="19">
        <v>0</v>
      </c>
      <c r="D20" s="19">
        <v>0</v>
      </c>
      <c r="E20" s="19">
        <v>0</v>
      </c>
      <c r="F20" s="19">
        <v>0</v>
      </c>
      <c r="G20" s="19">
        <v>0</v>
      </c>
      <c r="H20" s="19">
        <v>0</v>
      </c>
      <c r="I20" s="19">
        <v>0</v>
      </c>
      <c r="J20" s="19">
        <v>0</v>
      </c>
      <c r="K20" s="19">
        <v>0</v>
      </c>
      <c r="L20" s="19">
        <v>0</v>
      </c>
      <c r="M20" s="19"/>
      <c r="N20" s="19"/>
      <c r="O20" s="19"/>
      <c r="P20" s="19"/>
    </row>
    <row r="21" spans="1:16" s="23" customFormat="1" x14ac:dyDescent="0.2">
      <c r="A21" s="15" t="s">
        <v>18</v>
      </c>
      <c r="B21" s="19">
        <v>0</v>
      </c>
      <c r="C21" s="19">
        <v>0</v>
      </c>
      <c r="D21" s="19">
        <v>0</v>
      </c>
      <c r="E21" s="19">
        <v>0</v>
      </c>
      <c r="F21" s="19">
        <v>0</v>
      </c>
      <c r="G21" s="19">
        <v>0</v>
      </c>
      <c r="H21" s="19">
        <v>0</v>
      </c>
      <c r="I21" s="19">
        <v>0</v>
      </c>
      <c r="J21" s="19">
        <v>0</v>
      </c>
      <c r="K21" s="19">
        <v>0</v>
      </c>
      <c r="L21" s="19">
        <v>0</v>
      </c>
      <c r="M21" s="19"/>
      <c r="N21" s="19"/>
      <c r="O21" s="19"/>
      <c r="P21" s="19"/>
    </row>
    <row r="22" spans="1:16" s="22" customFormat="1" x14ac:dyDescent="0.2">
      <c r="A22" s="22" t="s">
        <v>23</v>
      </c>
      <c r="B22" s="20">
        <f t="shared" ref="B22:C22" si="5">SUM(B16,B19:B21)</f>
        <v>20.7</v>
      </c>
      <c r="C22" s="20">
        <f t="shared" si="5"/>
        <v>19.5</v>
      </c>
      <c r="D22" s="20">
        <f t="shared" ref="D22:E22" si="6">SUM(D16,D19:D21)</f>
        <v>16.7</v>
      </c>
      <c r="E22" s="20">
        <f t="shared" si="6"/>
        <v>24.799999999999997</v>
      </c>
      <c r="F22" s="20">
        <f t="shared" ref="F22:L22" si="7">SUM(F16,F19:F21)</f>
        <v>22</v>
      </c>
      <c r="G22" s="20">
        <f t="shared" si="7"/>
        <v>21.2</v>
      </c>
      <c r="H22" s="20">
        <f t="shared" si="7"/>
        <v>17</v>
      </c>
      <c r="I22" s="20">
        <f t="shared" si="7"/>
        <v>26</v>
      </c>
      <c r="J22" s="20">
        <f t="shared" si="7"/>
        <v>21.4</v>
      </c>
      <c r="K22" s="20">
        <f t="shared" si="7"/>
        <v>21.7</v>
      </c>
      <c r="L22" s="20">
        <f t="shared" si="7"/>
        <v>14.9</v>
      </c>
      <c r="M22" s="20"/>
      <c r="N22" s="20"/>
      <c r="O22" s="20"/>
      <c r="P22" s="20"/>
    </row>
    <row r="23" spans="1:16" s="22" customFormat="1" x14ac:dyDescent="0.2">
      <c r="B23" s="28"/>
      <c r="C23" s="28"/>
      <c r="D23" s="28"/>
      <c r="E23" s="28"/>
      <c r="F23" s="20"/>
      <c r="G23" s="20"/>
      <c r="H23" s="20"/>
      <c r="I23" s="20"/>
      <c r="J23" s="20"/>
      <c r="K23" s="20"/>
      <c r="L23" s="20"/>
      <c r="M23" s="20"/>
      <c r="N23" s="20"/>
      <c r="O23" s="20"/>
      <c r="P23" s="20"/>
    </row>
    <row r="24" spans="1:16" s="22" customFormat="1" x14ac:dyDescent="0.2">
      <c r="A24" s="22" t="s">
        <v>27</v>
      </c>
      <c r="B24" s="63">
        <f t="shared" ref="B24:I24" si="8">SUM(B22:E22)</f>
        <v>81.7</v>
      </c>
      <c r="C24" s="63">
        <f t="shared" si="8"/>
        <v>83</v>
      </c>
      <c r="D24" s="63">
        <f t="shared" si="8"/>
        <v>84.7</v>
      </c>
      <c r="E24" s="63">
        <f t="shared" si="8"/>
        <v>85</v>
      </c>
      <c r="F24" s="63">
        <f t="shared" si="8"/>
        <v>86.2</v>
      </c>
      <c r="G24" s="63">
        <f t="shared" si="8"/>
        <v>85.6</v>
      </c>
      <c r="H24" s="63">
        <f t="shared" si="8"/>
        <v>86.100000000000009</v>
      </c>
      <c r="I24" s="63">
        <f t="shared" si="8"/>
        <v>84</v>
      </c>
      <c r="J24" s="20"/>
      <c r="K24" s="20"/>
      <c r="L24" s="20"/>
      <c r="M24" s="20"/>
      <c r="N24" s="20"/>
      <c r="O24" s="20"/>
      <c r="P24" s="20"/>
    </row>
    <row r="25" spans="1:16" s="23" customFormat="1" x14ac:dyDescent="0.2">
      <c r="A25" s="15" t="s">
        <v>26</v>
      </c>
      <c r="B25" s="27">
        <v>0</v>
      </c>
      <c r="C25" s="27">
        <v>0</v>
      </c>
      <c r="D25" s="27">
        <v>0</v>
      </c>
      <c r="E25" s="27">
        <v>0</v>
      </c>
      <c r="F25" s="27">
        <v>0</v>
      </c>
      <c r="G25" s="27">
        <v>0</v>
      </c>
      <c r="H25" s="27">
        <v>0</v>
      </c>
      <c r="I25" s="27">
        <f>86-I24</f>
        <v>2</v>
      </c>
      <c r="J25" s="27"/>
      <c r="K25" s="27"/>
      <c r="L25" s="27"/>
      <c r="M25" s="27"/>
      <c r="N25" s="27"/>
      <c r="O25" s="27"/>
      <c r="P25" s="27"/>
    </row>
    <row r="26" spans="1:16" s="23" customFormat="1" x14ac:dyDescent="0.2">
      <c r="A26" s="15" t="s">
        <v>25</v>
      </c>
      <c r="B26" s="21">
        <v>0</v>
      </c>
      <c r="C26" s="21">
        <v>0</v>
      </c>
      <c r="D26" s="21">
        <v>0</v>
      </c>
      <c r="E26" s="21">
        <v>0</v>
      </c>
      <c r="F26" s="21">
        <v>0</v>
      </c>
      <c r="G26" s="21">
        <v>0</v>
      </c>
      <c r="H26" s="21">
        <v>0</v>
      </c>
      <c r="I26" s="21">
        <v>0</v>
      </c>
      <c r="J26" s="21"/>
      <c r="K26" s="21"/>
      <c r="L26" s="21"/>
      <c r="M26" s="21"/>
      <c r="N26" s="26"/>
      <c r="O26" s="26"/>
      <c r="P26" s="26"/>
    </row>
    <row r="27" spans="1:16" s="24" customFormat="1" x14ac:dyDescent="0.2">
      <c r="A27" s="22" t="s">
        <v>24</v>
      </c>
      <c r="B27" s="20">
        <f t="shared" ref="B27:C27" si="9">SUM(B24:B26)</f>
        <v>81.7</v>
      </c>
      <c r="C27" s="20">
        <f t="shared" si="9"/>
        <v>83</v>
      </c>
      <c r="D27" s="20">
        <f t="shared" ref="D27:E27" si="10">SUM(D24:D26)</f>
        <v>84.7</v>
      </c>
      <c r="E27" s="20">
        <f t="shared" si="10"/>
        <v>85</v>
      </c>
      <c r="F27" s="20">
        <f t="shared" ref="F27:I27" si="11">SUM(F24:F26)</f>
        <v>86.2</v>
      </c>
      <c r="G27" s="20">
        <f t="shared" si="11"/>
        <v>85.6</v>
      </c>
      <c r="H27" s="20">
        <f t="shared" si="11"/>
        <v>86.100000000000009</v>
      </c>
      <c r="I27" s="20">
        <f t="shared" si="11"/>
        <v>86</v>
      </c>
      <c r="J27" s="20"/>
      <c r="K27" s="20"/>
      <c r="L27" s="20"/>
      <c r="M27" s="20"/>
      <c r="N27" s="25"/>
      <c r="O27" s="25"/>
      <c r="P27" s="25"/>
    </row>
    <row r="28" spans="1:16" s="23" customFormat="1" x14ac:dyDescent="0.2"/>
    <row r="29" spans="1:16" s="22" customFormat="1" x14ac:dyDescent="0.2">
      <c r="A29" s="22" t="s">
        <v>23</v>
      </c>
      <c r="B29" s="20">
        <f t="shared" ref="B29:C29" si="12">B22</f>
        <v>20.7</v>
      </c>
      <c r="C29" s="20">
        <f t="shared" si="12"/>
        <v>19.5</v>
      </c>
      <c r="D29" s="20">
        <f t="shared" ref="D29:E29" si="13">D22</f>
        <v>16.7</v>
      </c>
      <c r="E29" s="20">
        <f t="shared" si="13"/>
        <v>24.799999999999997</v>
      </c>
      <c r="F29" s="20">
        <f t="shared" ref="F29:L29" si="14">F22</f>
        <v>22</v>
      </c>
      <c r="G29" s="20">
        <f t="shared" si="14"/>
        <v>21.2</v>
      </c>
      <c r="H29" s="20">
        <f t="shared" si="14"/>
        <v>17</v>
      </c>
      <c r="I29" s="20">
        <f t="shared" si="14"/>
        <v>26</v>
      </c>
      <c r="J29" s="20">
        <f t="shared" si="14"/>
        <v>21.4</v>
      </c>
      <c r="K29" s="20">
        <f t="shared" si="14"/>
        <v>21.7</v>
      </c>
      <c r="L29" s="20">
        <f t="shared" si="14"/>
        <v>14.9</v>
      </c>
      <c r="M29" s="20"/>
      <c r="N29" s="20"/>
      <c r="O29" s="20"/>
      <c r="P29" s="20"/>
    </row>
    <row r="30" spans="1:16" s="11" customFormat="1" x14ac:dyDescent="0.2">
      <c r="A30" s="19" t="s">
        <v>22</v>
      </c>
      <c r="B30" s="19">
        <v>-9</v>
      </c>
      <c r="C30" s="19">
        <v>-9.1999999999999993</v>
      </c>
      <c r="D30" s="19">
        <v>-9.1290000000000013</v>
      </c>
      <c r="E30" s="19">
        <v>-9</v>
      </c>
      <c r="F30" s="19">
        <v>-8.6999999999999993</v>
      </c>
      <c r="G30" s="19">
        <v>-15.4</v>
      </c>
      <c r="H30" s="19">
        <v>-11.1</v>
      </c>
      <c r="I30" s="19">
        <v>-11.558000000000007</v>
      </c>
      <c r="J30" s="19">
        <v>-10.7</v>
      </c>
      <c r="K30" s="19">
        <v>-10.7</v>
      </c>
      <c r="L30" s="19">
        <v>-10.7</v>
      </c>
      <c r="M30" s="19"/>
      <c r="N30" s="19"/>
      <c r="O30" s="19"/>
      <c r="P30" s="19"/>
    </row>
    <row r="31" spans="1:16" s="11" customFormat="1" x14ac:dyDescent="0.2">
      <c r="A31" s="19" t="s">
        <v>21</v>
      </c>
      <c r="B31" s="19">
        <v>-1.9</v>
      </c>
      <c r="C31" s="19">
        <v>-2</v>
      </c>
      <c r="D31" s="19">
        <v>-0.94599999999999995</v>
      </c>
      <c r="E31" s="19">
        <v>1.6869999999999998</v>
      </c>
      <c r="F31" s="19">
        <v>-1.3</v>
      </c>
      <c r="G31" s="19">
        <v>-0.1</v>
      </c>
      <c r="H31" s="19">
        <v>-0.5</v>
      </c>
      <c r="I31" s="19">
        <v>-1.9850000000000003</v>
      </c>
      <c r="J31" s="19">
        <v>-1.5</v>
      </c>
      <c r="K31" s="19">
        <v>-0.59999999999999987</v>
      </c>
      <c r="L31" s="19">
        <v>0.2</v>
      </c>
      <c r="M31" s="19"/>
      <c r="N31" s="19"/>
      <c r="O31" s="19"/>
      <c r="P31" s="19"/>
    </row>
    <row r="32" spans="1:16" s="11" customFormat="1" x14ac:dyDescent="0.2">
      <c r="A32" s="19" t="s">
        <v>20</v>
      </c>
      <c r="B32" s="19">
        <v>3.3</v>
      </c>
      <c r="C32" s="19">
        <v>-3.8</v>
      </c>
      <c r="D32" s="19">
        <v>-1.028</v>
      </c>
      <c r="E32" s="19">
        <v>0.89300000000000068</v>
      </c>
      <c r="F32" s="19">
        <v>1.3999999999999986</v>
      </c>
      <c r="G32" s="19">
        <v>-0.69999999999999929</v>
      </c>
      <c r="H32" s="19">
        <v>-10.5</v>
      </c>
      <c r="I32" s="19">
        <v>1.3230000000000022</v>
      </c>
      <c r="J32" s="19">
        <v>3.1</v>
      </c>
      <c r="K32" s="19">
        <v>-5.5000000000000009</v>
      </c>
      <c r="L32" s="19">
        <v>-2.5</v>
      </c>
      <c r="M32" s="19"/>
      <c r="N32" s="19"/>
      <c r="O32" s="19"/>
      <c r="P32" s="19"/>
    </row>
    <row r="33" spans="1:30" s="11" customFormat="1" x14ac:dyDescent="0.2">
      <c r="A33" s="19" t="s">
        <v>19</v>
      </c>
      <c r="B33" s="19">
        <f>-B19-B20-B21</f>
        <v>0</v>
      </c>
      <c r="C33" s="19">
        <f>-C19-C20-C21</f>
        <v>0</v>
      </c>
      <c r="D33" s="19">
        <f>-D19-D20-D21</f>
        <v>0</v>
      </c>
      <c r="E33" s="19">
        <f>-E19-E20-E21</f>
        <v>0</v>
      </c>
      <c r="F33" s="19">
        <f t="shared" ref="F33:L33" si="15">-F19-F20-F21</f>
        <v>0</v>
      </c>
      <c r="G33" s="19">
        <f t="shared" si="15"/>
        <v>0</v>
      </c>
      <c r="H33" s="19">
        <f t="shared" si="15"/>
        <v>0</v>
      </c>
      <c r="I33" s="19">
        <f t="shared" si="15"/>
        <v>0</v>
      </c>
      <c r="J33" s="19">
        <f t="shared" si="15"/>
        <v>0</v>
      </c>
      <c r="K33" s="19">
        <f t="shared" si="15"/>
        <v>0</v>
      </c>
      <c r="L33" s="19">
        <f t="shared" si="15"/>
        <v>0</v>
      </c>
      <c r="M33" s="19"/>
      <c r="N33" s="19"/>
      <c r="O33" s="19"/>
      <c r="P33" s="19"/>
    </row>
    <row r="34" spans="1:30" s="11" customFormat="1" x14ac:dyDescent="0.2">
      <c r="A34" s="19" t="s">
        <v>18</v>
      </c>
      <c r="B34" s="21">
        <f t="shared" ref="B34:C34" si="16">B35-B29-B30-B31-B32</f>
        <v>0</v>
      </c>
      <c r="C34" s="21">
        <f t="shared" si="16"/>
        <v>-0.70000000000000018</v>
      </c>
      <c r="D34" s="21">
        <f t="shared" ref="D34:L34" si="17">D35-D29-D30-D31-D32</f>
        <v>-2.5329999999999981</v>
      </c>
      <c r="E34" s="21">
        <f t="shared" si="17"/>
        <v>-2.4539999999999993</v>
      </c>
      <c r="F34" s="21">
        <f t="shared" si="17"/>
        <v>-2.7</v>
      </c>
      <c r="G34" s="21">
        <f t="shared" si="17"/>
        <v>6.1999999999999993</v>
      </c>
      <c r="H34" s="21">
        <f t="shared" si="17"/>
        <v>2.4000000000000004</v>
      </c>
      <c r="I34" s="21">
        <f t="shared" si="17"/>
        <v>1.0699999999999994</v>
      </c>
      <c r="J34" s="21">
        <f t="shared" si="17"/>
        <v>1.600000000000001</v>
      </c>
      <c r="K34" s="21">
        <f t="shared" si="17"/>
        <v>1.4000000000000012</v>
      </c>
      <c r="L34" s="21">
        <f t="shared" si="17"/>
        <v>0.59999999999999898</v>
      </c>
      <c r="M34" s="21"/>
      <c r="N34" s="21"/>
      <c r="O34" s="21"/>
      <c r="P34" s="21"/>
    </row>
    <row r="35" spans="1:30" s="20" customFormat="1" x14ac:dyDescent="0.2">
      <c r="A35" s="20" t="s">
        <v>17</v>
      </c>
      <c r="B35" s="20">
        <v>13.1</v>
      </c>
      <c r="C35" s="20">
        <v>3.8</v>
      </c>
      <c r="D35" s="20">
        <v>3.0640000000000001</v>
      </c>
      <c r="E35" s="20">
        <v>15.925999999999998</v>
      </c>
      <c r="F35" s="20">
        <v>10.7</v>
      </c>
      <c r="G35" s="20">
        <v>11.2</v>
      </c>
      <c r="H35" s="20">
        <v>-2.7</v>
      </c>
      <c r="I35" s="20">
        <v>14.849999999999994</v>
      </c>
      <c r="J35" s="20">
        <v>13.9</v>
      </c>
      <c r="K35" s="20">
        <v>6.3</v>
      </c>
      <c r="L35" s="20">
        <v>2.5</v>
      </c>
    </row>
    <row r="36" spans="1:30" s="11" customFormat="1" x14ac:dyDescent="0.2">
      <c r="A36" s="19" t="s">
        <v>16</v>
      </c>
      <c r="B36" s="21">
        <v>-3.6</v>
      </c>
      <c r="C36" s="21">
        <v>-3.2</v>
      </c>
      <c r="D36" s="21">
        <v>-3.3519999999999999</v>
      </c>
      <c r="E36" s="21">
        <v>-1.1600000000000001</v>
      </c>
      <c r="F36" s="21">
        <v>-5.2</v>
      </c>
      <c r="G36" s="21">
        <v>-4.5999999999999996</v>
      </c>
      <c r="H36" s="21">
        <v>-2.2999999999999998</v>
      </c>
      <c r="I36" s="21">
        <v>-3.9969999999999981</v>
      </c>
      <c r="J36" s="21">
        <v>-4.2</v>
      </c>
      <c r="K36" s="21">
        <v>-4.3</v>
      </c>
      <c r="L36" s="21">
        <v>-1.6</v>
      </c>
      <c r="M36" s="21"/>
      <c r="N36" s="21"/>
      <c r="O36" s="21"/>
      <c r="P36" s="21"/>
    </row>
    <row r="37" spans="1:30" s="20" customFormat="1" x14ac:dyDescent="0.2">
      <c r="A37" s="20" t="s">
        <v>15</v>
      </c>
      <c r="B37" s="20">
        <f t="shared" ref="B37:L37" si="18">+B35+B36</f>
        <v>9.5</v>
      </c>
      <c r="C37" s="20">
        <f t="shared" si="18"/>
        <v>0.59999999999999964</v>
      </c>
      <c r="D37" s="20">
        <f t="shared" si="18"/>
        <v>-0.28799999999999981</v>
      </c>
      <c r="E37" s="20">
        <f t="shared" si="18"/>
        <v>14.765999999999998</v>
      </c>
      <c r="F37" s="20">
        <f t="shared" si="18"/>
        <v>5.4999999999999991</v>
      </c>
      <c r="G37" s="20">
        <f t="shared" si="18"/>
        <v>6.6</v>
      </c>
      <c r="H37" s="20">
        <f t="shared" si="18"/>
        <v>-5</v>
      </c>
      <c r="I37" s="20">
        <f t="shared" si="18"/>
        <v>10.852999999999996</v>
      </c>
      <c r="J37" s="20">
        <f t="shared" si="18"/>
        <v>9.6999999999999993</v>
      </c>
      <c r="K37" s="20">
        <f t="shared" si="18"/>
        <v>2</v>
      </c>
      <c r="L37" s="20">
        <f t="shared" si="18"/>
        <v>0.89999999999999991</v>
      </c>
    </row>
    <row r="38" spans="1:30" x14ac:dyDescent="0.2">
      <c r="AB38" s="11"/>
    </row>
    <row r="39" spans="1:30" s="16" customFormat="1" x14ac:dyDescent="0.2">
      <c r="A39" s="18" t="s">
        <v>14</v>
      </c>
      <c r="B39" s="19">
        <v>0</v>
      </c>
      <c r="C39" s="19">
        <v>0</v>
      </c>
      <c r="D39" s="19">
        <v>0</v>
      </c>
      <c r="E39" s="19">
        <v>0</v>
      </c>
      <c r="F39" s="19">
        <v>0</v>
      </c>
      <c r="G39" s="19">
        <v>0</v>
      </c>
      <c r="H39" s="19">
        <v>0</v>
      </c>
      <c r="I39" s="19">
        <v>0</v>
      </c>
      <c r="J39" s="19"/>
      <c r="K39" s="19"/>
      <c r="L39" s="19"/>
      <c r="M39" s="19"/>
      <c r="N39" s="19"/>
      <c r="O39" s="19"/>
      <c r="P39" s="19"/>
    </row>
    <row r="40" spans="1:30" s="16" customFormat="1" x14ac:dyDescent="0.2">
      <c r="A40" s="18" t="s">
        <v>13</v>
      </c>
      <c r="B40" s="19">
        <f>381.225+3.9</f>
        <v>385.125</v>
      </c>
      <c r="C40" s="19">
        <v>386.09999999999997</v>
      </c>
      <c r="D40" s="19">
        <v>387.07499999999999</v>
      </c>
      <c r="E40" s="19">
        <v>388.04999999999995</v>
      </c>
      <c r="F40" s="19">
        <v>389.02499999999998</v>
      </c>
      <c r="G40" s="19">
        <v>390</v>
      </c>
      <c r="H40" s="19">
        <v>390</v>
      </c>
      <c r="I40" s="19">
        <v>390</v>
      </c>
      <c r="J40" s="19"/>
      <c r="K40" s="19"/>
      <c r="L40" s="19"/>
      <c r="M40" s="19"/>
      <c r="N40" s="19"/>
      <c r="O40" s="19"/>
      <c r="P40" s="19"/>
      <c r="AD40" s="20"/>
    </row>
    <row r="41" spans="1:30" s="16" customFormat="1" x14ac:dyDescent="0.2">
      <c r="A41" s="18" t="s">
        <v>12</v>
      </c>
      <c r="B41" s="19">
        <f t="shared" ref="B41:C41" si="19">B39+B40+110</f>
        <v>495.125</v>
      </c>
      <c r="C41" s="19">
        <f t="shared" si="19"/>
        <v>496.09999999999997</v>
      </c>
      <c r="D41" s="19">
        <f t="shared" ref="D41:I41" si="20">D39+D40+110</f>
        <v>497.07499999999999</v>
      </c>
      <c r="E41" s="19">
        <f t="shared" si="20"/>
        <v>498.04999999999995</v>
      </c>
      <c r="F41" s="19">
        <f t="shared" si="20"/>
        <v>499.02499999999998</v>
      </c>
      <c r="G41" s="19">
        <f t="shared" si="20"/>
        <v>500</v>
      </c>
      <c r="H41" s="19">
        <f t="shared" si="20"/>
        <v>500</v>
      </c>
      <c r="I41" s="19">
        <f t="shared" si="20"/>
        <v>500</v>
      </c>
      <c r="J41" s="19"/>
      <c r="K41" s="19"/>
      <c r="L41" s="19"/>
      <c r="M41" s="19"/>
      <c r="N41" s="19"/>
      <c r="O41" s="19"/>
      <c r="P41" s="19"/>
    </row>
    <row r="42" spans="1:30" s="16" customFormat="1" x14ac:dyDescent="0.2">
      <c r="A42" s="18" t="s">
        <v>11</v>
      </c>
      <c r="B42" s="17">
        <f t="shared" ref="B42:H42" si="21">C42</f>
        <v>207</v>
      </c>
      <c r="C42" s="17">
        <f t="shared" si="21"/>
        <v>207</v>
      </c>
      <c r="D42" s="17">
        <f t="shared" si="21"/>
        <v>207</v>
      </c>
      <c r="E42" s="17">
        <f t="shared" si="21"/>
        <v>207</v>
      </c>
      <c r="F42" s="17">
        <f t="shared" si="21"/>
        <v>207</v>
      </c>
      <c r="G42" s="17">
        <f t="shared" si="21"/>
        <v>207</v>
      </c>
      <c r="H42" s="17">
        <f t="shared" si="21"/>
        <v>207</v>
      </c>
      <c r="I42" s="17">
        <v>207</v>
      </c>
      <c r="J42" s="17"/>
      <c r="K42" s="17"/>
      <c r="L42" s="17"/>
      <c r="M42" s="17"/>
      <c r="N42" s="17"/>
      <c r="O42" s="17"/>
      <c r="P42" s="17"/>
    </row>
    <row r="43" spans="1:30" x14ac:dyDescent="0.2">
      <c r="B43" s="16"/>
      <c r="C43" s="16"/>
      <c r="D43" s="16"/>
      <c r="E43" s="16"/>
      <c r="F43" s="16"/>
      <c r="G43" s="16"/>
      <c r="H43" s="16"/>
      <c r="I43" s="16"/>
      <c r="J43" s="16"/>
      <c r="K43" s="16"/>
    </row>
    <row r="44" spans="1:30" x14ac:dyDescent="0.2">
      <c r="A44" s="15" t="s">
        <v>10</v>
      </c>
      <c r="B44" s="27">
        <v>30.69</v>
      </c>
      <c r="C44" s="27">
        <v>28.114999999999998</v>
      </c>
      <c r="D44" s="27">
        <v>26.004000000000001</v>
      </c>
      <c r="E44" s="27">
        <v>28.123000000000001</v>
      </c>
      <c r="F44" s="27">
        <v>18.134</v>
      </c>
      <c r="G44" s="27">
        <v>12.553000000000001</v>
      </c>
      <c r="H44" s="27">
        <v>36.268999999999998</v>
      </c>
      <c r="I44" s="27">
        <v>19</v>
      </c>
      <c r="J44" s="27"/>
      <c r="K44" s="27"/>
      <c r="L44" s="27"/>
      <c r="M44" s="27"/>
      <c r="N44" s="14"/>
      <c r="O44" s="14"/>
      <c r="P44" s="14"/>
    </row>
    <row r="46" spans="1:30" x14ac:dyDescent="0.2">
      <c r="A46" s="1" t="s">
        <v>9</v>
      </c>
      <c r="B46" s="11">
        <f t="shared" ref="B46:H46" si="22">SUM(B12:E12)</f>
        <v>433.30000000000007</v>
      </c>
      <c r="C46" s="11">
        <f t="shared" si="22"/>
        <v>429.5</v>
      </c>
      <c r="D46" s="11">
        <f t="shared" si="22"/>
        <v>429.6</v>
      </c>
      <c r="E46" s="11">
        <f t="shared" si="22"/>
        <v>429.1</v>
      </c>
      <c r="F46" s="11">
        <f t="shared" si="22"/>
        <v>427.255</v>
      </c>
      <c r="G46" s="11">
        <f t="shared" si="22"/>
        <v>425.85500000000002</v>
      </c>
      <c r="H46" s="11">
        <f t="shared" si="22"/>
        <v>423.55500000000001</v>
      </c>
      <c r="I46" s="12">
        <v>422.65499999999997</v>
      </c>
      <c r="J46" s="11"/>
      <c r="K46" s="11"/>
      <c r="L46" s="11"/>
      <c r="M46" s="11"/>
    </row>
    <row r="47" spans="1:30" x14ac:dyDescent="0.2">
      <c r="A47" s="1" t="s">
        <v>8</v>
      </c>
      <c r="B47" s="11">
        <f t="shared" ref="B47:C47" si="23">B27</f>
        <v>81.7</v>
      </c>
      <c r="C47" s="11">
        <f t="shared" si="23"/>
        <v>83</v>
      </c>
      <c r="D47" s="11">
        <f t="shared" ref="D47:I47" si="24">D27</f>
        <v>84.7</v>
      </c>
      <c r="E47" s="11">
        <f t="shared" si="24"/>
        <v>85</v>
      </c>
      <c r="F47" s="11">
        <f t="shared" si="24"/>
        <v>86.2</v>
      </c>
      <c r="G47" s="11">
        <f t="shared" si="24"/>
        <v>85.6</v>
      </c>
      <c r="H47" s="11">
        <f t="shared" si="24"/>
        <v>86.100000000000009</v>
      </c>
      <c r="I47" s="11">
        <f t="shared" si="24"/>
        <v>86</v>
      </c>
      <c r="J47" s="11"/>
      <c r="K47" s="11"/>
      <c r="L47" s="11"/>
      <c r="M47" s="11"/>
    </row>
    <row r="48" spans="1:30" x14ac:dyDescent="0.2">
      <c r="A48" s="1" t="s">
        <v>7</v>
      </c>
      <c r="B48" s="11">
        <f t="shared" ref="B48:H48" si="25">SUM(B37:E37)</f>
        <v>24.577999999999996</v>
      </c>
      <c r="C48" s="11">
        <f t="shared" si="25"/>
        <v>20.577999999999996</v>
      </c>
      <c r="D48" s="11">
        <f t="shared" si="25"/>
        <v>26.577999999999996</v>
      </c>
      <c r="E48" s="11">
        <f t="shared" si="25"/>
        <v>21.866</v>
      </c>
      <c r="F48" s="11">
        <f t="shared" si="25"/>
        <v>17.952999999999996</v>
      </c>
      <c r="G48" s="11">
        <f t="shared" si="25"/>
        <v>22.152999999999995</v>
      </c>
      <c r="H48" s="11">
        <f t="shared" si="25"/>
        <v>17.552999999999997</v>
      </c>
      <c r="I48" s="13">
        <f>SUM(I37:L37)</f>
        <v>23.452999999999996</v>
      </c>
      <c r="J48" s="11"/>
      <c r="K48" s="11"/>
      <c r="L48" s="11"/>
      <c r="M48" s="11"/>
    </row>
    <row r="50" spans="1:16" s="10" customFormat="1" x14ac:dyDescent="0.2">
      <c r="A50" s="10" t="s">
        <v>6</v>
      </c>
      <c r="B50" s="10">
        <f t="shared" ref="B50" si="26">+SUM(B39:B40)/B47</f>
        <v>4.7138922888616888</v>
      </c>
      <c r="C50" s="10">
        <f t="shared" ref="C50:D50" si="27">+SUM(C39:C40)/C47</f>
        <v>4.6518072289156622</v>
      </c>
      <c r="D50" s="10">
        <f t="shared" si="27"/>
        <v>4.5699527744982289</v>
      </c>
      <c r="E50" s="10">
        <f t="shared" ref="E50:F50" si="28">+SUM(E39:E40)/E47</f>
        <v>4.5652941176470581</v>
      </c>
      <c r="F50" s="10">
        <f t="shared" si="28"/>
        <v>4.5130510440835261</v>
      </c>
      <c r="G50" s="10">
        <f t="shared" ref="G50:I50" si="29">+SUM(G39:G40)/G47</f>
        <v>4.5560747663551409</v>
      </c>
      <c r="H50" s="10">
        <f t="shared" si="29"/>
        <v>4.5296167247386752</v>
      </c>
      <c r="I50" s="10">
        <f t="shared" si="29"/>
        <v>4.5348837209302326</v>
      </c>
    </row>
    <row r="51" spans="1:16" s="10" customFormat="1" x14ac:dyDescent="0.2">
      <c r="A51" s="10" t="s">
        <v>5</v>
      </c>
      <c r="B51" s="10">
        <f t="shared" ref="B51:C51" si="30">+B41/B47</f>
        <v>6.0602815177478577</v>
      </c>
      <c r="C51" s="10">
        <f t="shared" si="30"/>
        <v>5.9771084337349389</v>
      </c>
      <c r="D51" s="10">
        <f t="shared" ref="D51:E51" si="31">+D41/D47</f>
        <v>5.8686540731995276</v>
      </c>
      <c r="E51" s="10">
        <f t="shared" si="31"/>
        <v>5.8594117647058814</v>
      </c>
      <c r="F51" s="10">
        <f t="shared" ref="F51:I51" si="32">+F41/F47</f>
        <v>5.7891531322505791</v>
      </c>
      <c r="G51" s="10">
        <f t="shared" si="32"/>
        <v>5.8411214953271031</v>
      </c>
      <c r="H51" s="10">
        <f t="shared" si="32"/>
        <v>5.807200929152148</v>
      </c>
      <c r="I51" s="10">
        <f t="shared" si="32"/>
        <v>5.8139534883720927</v>
      </c>
    </row>
    <row r="52" spans="1:16" s="10" customFormat="1" x14ac:dyDescent="0.2">
      <c r="A52" s="10" t="s">
        <v>4</v>
      </c>
      <c r="B52" s="10">
        <f t="shared" ref="B52:C52" si="33">+(B41-B44)/B47</f>
        <v>5.6846389228886167</v>
      </c>
      <c r="C52" s="10">
        <f t="shared" si="33"/>
        <v>5.6383734939759034</v>
      </c>
      <c r="D52" s="10">
        <f t="shared" ref="D52:E52" si="34">+(D41-D44)/D47</f>
        <v>5.5616410861865404</v>
      </c>
      <c r="E52" s="10">
        <f t="shared" si="34"/>
        <v>5.5285529411764704</v>
      </c>
      <c r="F52" s="10">
        <f t="shared" ref="F52:I52" si="35">+(F41-F44)/F47</f>
        <v>5.5787819025522039</v>
      </c>
      <c r="G52" s="10">
        <f t="shared" si="35"/>
        <v>5.6944742990654209</v>
      </c>
      <c r="H52" s="10">
        <f t="shared" si="35"/>
        <v>5.3859581881533094</v>
      </c>
      <c r="I52" s="10">
        <f t="shared" si="35"/>
        <v>5.5930232558139537</v>
      </c>
    </row>
    <row r="53" spans="1:16" s="6" customFormat="1" x14ac:dyDescent="0.2">
      <c r="A53" s="6" t="s">
        <v>3</v>
      </c>
      <c r="B53" s="6">
        <f t="shared" ref="B53:C53" si="36">+B48/B41</f>
        <v>4.9639989901540005E-2</v>
      </c>
      <c r="C53" s="6">
        <f t="shared" si="36"/>
        <v>4.1479540415238859E-2</v>
      </c>
      <c r="D53" s="6">
        <f t="shared" ref="D53:E53" si="37">+D48/D41</f>
        <v>5.3468792435749125E-2</v>
      </c>
      <c r="E53" s="6">
        <f t="shared" si="37"/>
        <v>4.3903222568015265E-2</v>
      </c>
      <c r="F53" s="6">
        <f t="shared" ref="F53:I53" si="38">+F48/F41</f>
        <v>3.5976153499323676E-2</v>
      </c>
      <c r="G53" s="6">
        <f t="shared" si="38"/>
        <v>4.4305999999999991E-2</v>
      </c>
      <c r="H53" s="6">
        <f t="shared" si="38"/>
        <v>3.5105999999999991E-2</v>
      </c>
      <c r="I53" s="6">
        <f t="shared" si="38"/>
        <v>4.6905999999999989E-2</v>
      </c>
    </row>
    <row r="54" spans="1:16" s="6" customFormat="1" x14ac:dyDescent="0.2">
      <c r="A54" s="8" t="s">
        <v>2</v>
      </c>
      <c r="B54" s="9"/>
      <c r="C54" s="9"/>
      <c r="D54" s="9"/>
      <c r="E54" s="9"/>
      <c r="F54" s="9"/>
      <c r="G54" s="9"/>
      <c r="H54" s="9"/>
      <c r="I54" s="9"/>
      <c r="J54" s="9"/>
      <c r="K54" s="9"/>
      <c r="L54" s="9"/>
      <c r="M54" s="9"/>
      <c r="N54" s="8"/>
      <c r="O54" s="8"/>
      <c r="P54" s="8"/>
    </row>
    <row r="55" spans="1:16" s="6" customFormat="1" x14ac:dyDescent="0.2">
      <c r="A55" s="6" t="s">
        <v>1</v>
      </c>
      <c r="B55" s="7">
        <f t="shared" ref="B55:C55" si="39">IF(B42=0,IF(B54="","","*"&amp;TEXT(B54,"0.0x")),(B41+B42-B44)/B47)</f>
        <v>8.2182986536107698</v>
      </c>
      <c r="C55" s="7">
        <f t="shared" si="39"/>
        <v>8.1323493975903602</v>
      </c>
      <c r="D55" s="7">
        <f t="shared" ref="D55:E55" si="40">IF(D42=0,IF(D54="","","*"&amp;TEXT(D54,"0.0x")),(D41+D42-D44)/D47)</f>
        <v>8.0055608028335303</v>
      </c>
      <c r="E55" s="7">
        <f t="shared" si="40"/>
        <v>7.9638470588235286</v>
      </c>
      <c r="F55" s="7">
        <f t="shared" ref="F55:I55" si="41">IF(F42=0,IF(F54="","","*"&amp;TEXT(F54,"0.0x")),(F41+F42-F44)/F47)</f>
        <v>7.980174013921113</v>
      </c>
      <c r="G55" s="7">
        <f t="shared" si="41"/>
        <v>8.1126985981308408</v>
      </c>
      <c r="H55" s="7">
        <f t="shared" si="41"/>
        <v>7.7901393728222992</v>
      </c>
      <c r="I55" s="7">
        <f t="shared" si="41"/>
        <v>8</v>
      </c>
      <c r="J55" s="7"/>
      <c r="K55" s="7"/>
      <c r="L55" s="7"/>
      <c r="M55" s="7"/>
      <c r="N55" s="7" t="str">
        <f>IF(N42=0,IF(N54="","",CONCATENATE("* ",N54,"x")),(N41+N42-N44)/N47)</f>
        <v/>
      </c>
      <c r="O55" s="7" t="str">
        <f>IF(O42=0,IF(O54="","",CONCATENATE("* ",O54,"x")),(O41+O42-O44)/O47)</f>
        <v/>
      </c>
      <c r="P55" s="7" t="str">
        <f>IF(P42=0,IF(P54="","",CONCATENATE("* ",P54,"x")),(P41+P42-P44)/P47)</f>
        <v/>
      </c>
    </row>
    <row r="56" spans="1:16" x14ac:dyDescent="0.2">
      <c r="M56" s="3"/>
    </row>
    <row r="57" spans="1:16" ht="80.25" customHeight="1" x14ac:dyDescent="0.2">
      <c r="A57" s="5" t="s">
        <v>0</v>
      </c>
      <c r="B57" s="60" t="s">
        <v>104</v>
      </c>
      <c r="C57" s="60" t="s">
        <v>104</v>
      </c>
      <c r="D57" s="60" t="s">
        <v>367</v>
      </c>
      <c r="E57" s="60" t="s">
        <v>104</v>
      </c>
      <c r="F57" s="60" t="s">
        <v>104</v>
      </c>
      <c r="G57" s="60"/>
      <c r="H57" s="60"/>
      <c r="I57" s="60" t="s">
        <v>147</v>
      </c>
      <c r="J57" s="4"/>
      <c r="K57" s="4"/>
      <c r="L57" s="4"/>
      <c r="M57" s="4"/>
      <c r="N57" s="4"/>
      <c r="O57" s="4"/>
      <c r="P57" s="4"/>
    </row>
    <row r="58" spans="1:16" x14ac:dyDescent="0.2">
      <c r="A58" s="2"/>
      <c r="B58" s="3"/>
      <c r="C58" s="3"/>
      <c r="D58" s="3"/>
      <c r="E58" s="3"/>
      <c r="F58" s="3"/>
      <c r="G58" s="3"/>
      <c r="H58" s="3"/>
      <c r="I58" s="3"/>
    </row>
    <row r="59" spans="1:16" x14ac:dyDescent="0.2">
      <c r="A59" s="2"/>
    </row>
  </sheetData>
  <pageMargins left="0.7" right="0.7" top="0.75" bottom="0.75" header="0.3" footer="0.3"/>
  <pageSetup orientation="portrait" r:id="rId1"/>
  <ignoredErrors>
    <ignoredError sqref="E46:I49" formulaRange="1"/>
  </ignoredErrors>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AG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5" width="10.7109375" style="1" customWidth="1"/>
    <col min="26" max="16384" width="9.140625" style="1"/>
  </cols>
  <sheetData>
    <row r="2" spans="1:25" x14ac:dyDescent="0.2">
      <c r="A2" s="34" t="s">
        <v>45</v>
      </c>
      <c r="B2" s="1" t="s">
        <v>198</v>
      </c>
    </row>
    <row r="3" spans="1:25" s="35" customFormat="1" x14ac:dyDescent="0.2">
      <c r="A3" s="36" t="s">
        <v>43</v>
      </c>
      <c r="B3" s="35" t="s">
        <v>197</v>
      </c>
    </row>
    <row r="4" spans="1:25" x14ac:dyDescent="0.2">
      <c r="A4" s="34" t="s">
        <v>41</v>
      </c>
      <c r="B4" s="1" t="s">
        <v>40</v>
      </c>
    </row>
    <row r="5" spans="1:25" x14ac:dyDescent="0.2">
      <c r="A5" s="34" t="s">
        <v>39</v>
      </c>
    </row>
    <row r="6" spans="1:25" x14ac:dyDescent="0.2">
      <c r="A6" s="34" t="s">
        <v>38</v>
      </c>
      <c r="B6" s="1">
        <v>3</v>
      </c>
    </row>
    <row r="7" spans="1:25" x14ac:dyDescent="0.2">
      <c r="A7" s="34" t="s">
        <v>37</v>
      </c>
      <c r="B7" s="1" t="s">
        <v>233</v>
      </c>
    </row>
    <row r="8" spans="1:25" x14ac:dyDescent="0.2">
      <c r="A8" s="34" t="s">
        <v>281</v>
      </c>
      <c r="B8" s="1" t="s">
        <v>300</v>
      </c>
    </row>
    <row r="9" spans="1:25" x14ac:dyDescent="0.2">
      <c r="A9" s="22"/>
    </row>
    <row r="10" spans="1:25"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c r="U10" s="33">
        <v>42643</v>
      </c>
      <c r="V10" s="33">
        <v>42551</v>
      </c>
      <c r="W10" s="33">
        <v>42460</v>
      </c>
      <c r="X10" s="33">
        <v>42369</v>
      </c>
      <c r="Y10" s="33">
        <v>42277</v>
      </c>
    </row>
    <row r="12" spans="1:25" x14ac:dyDescent="0.2">
      <c r="A12" s="15" t="s">
        <v>35</v>
      </c>
      <c r="B12" s="19">
        <v>179.18600000000001</v>
      </c>
      <c r="C12" s="19">
        <v>119.764</v>
      </c>
      <c r="D12" s="19">
        <v>154.37200000000001</v>
      </c>
      <c r="E12" s="19">
        <v>158.78499999999997</v>
      </c>
      <c r="F12" s="19">
        <v>132.36699999999999</v>
      </c>
      <c r="G12" s="19">
        <v>99.837000000000003</v>
      </c>
      <c r="H12" s="19">
        <v>176.13800000000003</v>
      </c>
      <c r="I12" s="19">
        <v>185.23599999999999</v>
      </c>
      <c r="J12" s="19">
        <v>170.523</v>
      </c>
      <c r="K12" s="19">
        <v>102.462</v>
      </c>
      <c r="L12" s="19">
        <v>159.37900000000002</v>
      </c>
      <c r="M12" s="19">
        <v>162.75200000000001</v>
      </c>
      <c r="N12" s="19">
        <v>157.35</v>
      </c>
      <c r="O12" s="19">
        <v>96.177000000000007</v>
      </c>
      <c r="P12" s="19">
        <f>503.717-S12-R12-Q12</f>
        <v>137.21300000000002</v>
      </c>
      <c r="Q12" s="19">
        <v>154.30099999999999</v>
      </c>
      <c r="R12" s="19">
        <v>134.14099999999999</v>
      </c>
      <c r="S12" s="19">
        <v>78.061999999999998</v>
      </c>
      <c r="T12" s="19">
        <v>133.596282019748</v>
      </c>
      <c r="U12" s="19">
        <v>151.91910170855317</v>
      </c>
      <c r="V12" s="19">
        <v>140.74540931282613</v>
      </c>
      <c r="W12" s="19">
        <v>88.152561492758622</v>
      </c>
      <c r="X12" s="19">
        <v>125.21309909999999</v>
      </c>
      <c r="Y12" s="19">
        <v>146.74031583999997</v>
      </c>
    </row>
    <row r="13" spans="1:25" s="28" customFormat="1" x14ac:dyDescent="0.2">
      <c r="A13" s="28" t="s">
        <v>34</v>
      </c>
      <c r="B13" s="28">
        <f t="shared" ref="B13:U13" si="0">+B12/F12-1</f>
        <v>0.35370598411990928</v>
      </c>
      <c r="C13" s="28">
        <f t="shared" si="0"/>
        <v>0.19959534040485982</v>
      </c>
      <c r="D13" s="28">
        <f t="shared" si="0"/>
        <v>-0.12357356163916933</v>
      </c>
      <c r="E13" s="28">
        <f t="shared" si="0"/>
        <v>-0.1427962167181327</v>
      </c>
      <c r="F13" s="28">
        <f t="shared" si="0"/>
        <v>-0.22375867185071807</v>
      </c>
      <c r="G13" s="28">
        <f t="shared" si="0"/>
        <v>-2.5619253967324451E-2</v>
      </c>
      <c r="H13" s="28">
        <f t="shared" si="0"/>
        <v>0.10515187069814735</v>
      </c>
      <c r="I13" s="28">
        <f t="shared" si="0"/>
        <v>0.13814883995281146</v>
      </c>
      <c r="J13" s="28">
        <f t="shared" si="0"/>
        <v>8.3717826501430004E-2</v>
      </c>
      <c r="K13" s="28">
        <f t="shared" si="0"/>
        <v>6.5348264137995438E-2</v>
      </c>
      <c r="L13" s="28">
        <f t="shared" si="0"/>
        <v>0.16154446007302514</v>
      </c>
      <c r="M13" s="28">
        <f t="shared" si="0"/>
        <v>5.476957375519298E-2</v>
      </c>
      <c r="N13" s="28">
        <f t="shared" si="0"/>
        <v>0.17301943477385739</v>
      </c>
      <c r="O13" s="28">
        <f t="shared" si="0"/>
        <v>0.23205913248443566</v>
      </c>
      <c r="P13" s="28">
        <f t="shared" si="0"/>
        <v>2.707199575896424E-2</v>
      </c>
      <c r="Q13" s="28">
        <f t="shared" si="0"/>
        <v>1.5678728116865326E-2</v>
      </c>
      <c r="R13" s="28">
        <f t="shared" si="0"/>
        <v>-4.6924509616842469E-2</v>
      </c>
      <c r="S13" s="28">
        <f t="shared" si="0"/>
        <v>-0.11446702536928011</v>
      </c>
      <c r="T13" s="28">
        <f t="shared" si="0"/>
        <v>6.6951325220797164E-2</v>
      </c>
      <c r="U13" s="28">
        <f t="shared" si="0"/>
        <v>3.5292181558338465E-2</v>
      </c>
    </row>
    <row r="14" spans="1:25"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row>
    <row r="16" spans="1:25" s="22" customFormat="1" x14ac:dyDescent="0.2">
      <c r="A16" s="30" t="s">
        <v>31</v>
      </c>
      <c r="B16" s="29">
        <v>31.352</v>
      </c>
      <c r="C16" s="29">
        <v>9.9580000000000002</v>
      </c>
      <c r="D16" s="29">
        <v>35.193999999999988</v>
      </c>
      <c r="E16" s="29">
        <v>30.501999999999999</v>
      </c>
      <c r="F16" s="29">
        <v>23.251999999999999</v>
      </c>
      <c r="G16" s="29">
        <v>1.9019999999999999</v>
      </c>
      <c r="H16" s="29">
        <v>32.707999999999998</v>
      </c>
      <c r="I16" s="29">
        <v>32.159000000000013</v>
      </c>
      <c r="J16" s="29">
        <v>29.6</v>
      </c>
      <c r="K16" s="29">
        <v>4.26</v>
      </c>
      <c r="L16" s="29">
        <v>34.396000000000008</v>
      </c>
      <c r="M16" s="29">
        <v>29.521000000000001</v>
      </c>
      <c r="N16" s="29">
        <v>27.503</v>
      </c>
      <c r="O16" s="29">
        <v>4.6379999999999999</v>
      </c>
      <c r="P16" s="29">
        <v>28.037000000000006</v>
      </c>
      <c r="Q16" s="29">
        <v>26.79</v>
      </c>
      <c r="R16" s="29">
        <v>26.033000000000001</v>
      </c>
      <c r="S16" s="29">
        <v>4.9210000000000003</v>
      </c>
      <c r="T16" s="29">
        <v>19.354700768741949</v>
      </c>
      <c r="U16" s="29">
        <v>27.927836874917475</v>
      </c>
      <c r="V16" s="29">
        <v>26.22559718603295</v>
      </c>
      <c r="W16" s="29">
        <v>5.3502022002774883</v>
      </c>
      <c r="X16" s="29">
        <v>14.88581559992447</v>
      </c>
      <c r="Y16" s="29">
        <v>26.151657451821201</v>
      </c>
    </row>
    <row r="17" spans="1:32" s="28" customFormat="1" x14ac:dyDescent="0.2">
      <c r="A17" s="28" t="s">
        <v>30</v>
      </c>
      <c r="B17" s="28">
        <f t="shared" ref="B17" si="1">+B16/B12</f>
        <v>0.1749690265980601</v>
      </c>
      <c r="C17" s="28">
        <f t="shared" ref="C17:D17" si="2">+C16/C12</f>
        <v>8.3146855482448823E-2</v>
      </c>
      <c r="D17" s="28">
        <f t="shared" si="2"/>
        <v>0.22798175834995973</v>
      </c>
      <c r="E17" s="28">
        <f t="shared" ref="E17:F17" si="3">+E16/E12</f>
        <v>0.19209623075227511</v>
      </c>
      <c r="F17" s="28">
        <f t="shared" si="3"/>
        <v>0.17566311845097343</v>
      </c>
      <c r="G17" s="28">
        <f t="shared" ref="G17:H17" si="4">+G16/G12</f>
        <v>1.9051053216743288E-2</v>
      </c>
      <c r="H17" s="28">
        <f t="shared" si="4"/>
        <v>0.18569530708875989</v>
      </c>
      <c r="I17" s="28">
        <f t="shared" ref="I17:J17" si="5">+I16/I12</f>
        <v>0.17361096115225991</v>
      </c>
      <c r="J17" s="28">
        <f t="shared" si="5"/>
        <v>0.17358362215067763</v>
      </c>
      <c r="K17" s="28">
        <f t="shared" ref="K17:L17" si="6">+K16/K12</f>
        <v>4.1576389295543713E-2</v>
      </c>
      <c r="L17" s="28">
        <f t="shared" si="6"/>
        <v>0.21581262274201748</v>
      </c>
      <c r="M17" s="28">
        <f t="shared" ref="M17:Y17" si="7">+M16/M12</f>
        <v>0.18138640385371607</v>
      </c>
      <c r="N17" s="28">
        <f t="shared" si="7"/>
        <v>0.17478868763902131</v>
      </c>
      <c r="O17" s="28">
        <f t="shared" si="7"/>
        <v>4.8223587760067368E-2</v>
      </c>
      <c r="P17" s="28">
        <f t="shared" si="7"/>
        <v>0.20433195105420041</v>
      </c>
      <c r="Q17" s="28">
        <f t="shared" si="7"/>
        <v>0.17362168748096254</v>
      </c>
      <c r="R17" s="28">
        <f t="shared" si="7"/>
        <v>0.19407190940875649</v>
      </c>
      <c r="S17" s="28">
        <f t="shared" si="7"/>
        <v>6.3039635161794477E-2</v>
      </c>
      <c r="T17" s="28">
        <f t="shared" si="7"/>
        <v>0.14487454647788003</v>
      </c>
      <c r="U17" s="28">
        <f t="shared" si="7"/>
        <v>0.18383360986754119</v>
      </c>
      <c r="V17" s="28">
        <f t="shared" si="7"/>
        <v>0.18633358852751591</v>
      </c>
      <c r="W17" s="28">
        <f t="shared" si="7"/>
        <v>6.0692532465060428E-2</v>
      </c>
      <c r="X17" s="28">
        <f t="shared" si="7"/>
        <v>0.11888385246367943</v>
      </c>
      <c r="Y17" s="28">
        <f t="shared" si="7"/>
        <v>0.17821726293908191</v>
      </c>
    </row>
    <row r="18" spans="1:32" s="23" customFormat="1" x14ac:dyDescent="0.2"/>
    <row r="19" spans="1:32"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32"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row>
    <row r="21" spans="1:32"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row>
    <row r="22" spans="1:32" s="22" customFormat="1" x14ac:dyDescent="0.2">
      <c r="A22" s="22" t="s">
        <v>23</v>
      </c>
      <c r="B22" s="20">
        <f t="shared" ref="B22" si="8">SUM(B16,B19:B21)</f>
        <v>31.352</v>
      </c>
      <c r="C22" s="20">
        <f t="shared" ref="C22:D22" si="9">SUM(C16,C19:C21)</f>
        <v>9.9580000000000002</v>
      </c>
      <c r="D22" s="20">
        <f t="shared" si="9"/>
        <v>35.193999999999988</v>
      </c>
      <c r="E22" s="20">
        <f t="shared" ref="E22:F22" si="10">SUM(E16,E19:E21)</f>
        <v>30.501999999999999</v>
      </c>
      <c r="F22" s="20">
        <f t="shared" si="10"/>
        <v>23.251999999999999</v>
      </c>
      <c r="G22" s="20">
        <f t="shared" ref="G22:H22" si="11">SUM(G16,G19:G21)</f>
        <v>1.9019999999999999</v>
      </c>
      <c r="H22" s="20">
        <f t="shared" si="11"/>
        <v>32.707999999999998</v>
      </c>
      <c r="I22" s="20">
        <f t="shared" ref="I22:J22" si="12">SUM(I16,I19:I21)</f>
        <v>32.159000000000013</v>
      </c>
      <c r="J22" s="20">
        <f t="shared" si="12"/>
        <v>29.6</v>
      </c>
      <c r="K22" s="20">
        <f t="shared" ref="K22:L22" si="13">SUM(K16,K19:K21)</f>
        <v>4.26</v>
      </c>
      <c r="L22" s="20">
        <f t="shared" si="13"/>
        <v>34.396000000000008</v>
      </c>
      <c r="M22" s="20">
        <f t="shared" ref="M22:Y22" si="14">SUM(M16,M19:M21)</f>
        <v>29.521000000000001</v>
      </c>
      <c r="N22" s="20">
        <f t="shared" si="14"/>
        <v>27.503</v>
      </c>
      <c r="O22" s="20">
        <f t="shared" si="14"/>
        <v>4.6379999999999999</v>
      </c>
      <c r="P22" s="20">
        <f t="shared" si="14"/>
        <v>28.037000000000006</v>
      </c>
      <c r="Q22" s="20">
        <f t="shared" si="14"/>
        <v>26.79</v>
      </c>
      <c r="R22" s="20">
        <f t="shared" si="14"/>
        <v>26.033000000000001</v>
      </c>
      <c r="S22" s="20">
        <f t="shared" si="14"/>
        <v>4.9210000000000003</v>
      </c>
      <c r="T22" s="20">
        <f t="shared" si="14"/>
        <v>19.354700768741949</v>
      </c>
      <c r="U22" s="20">
        <f t="shared" si="14"/>
        <v>27.927836874917475</v>
      </c>
      <c r="V22" s="20">
        <f t="shared" si="14"/>
        <v>26.22559718603295</v>
      </c>
      <c r="W22" s="20">
        <f t="shared" si="14"/>
        <v>5.3502022002774883</v>
      </c>
      <c r="X22" s="20">
        <f t="shared" si="14"/>
        <v>14.88581559992447</v>
      </c>
      <c r="Y22" s="20">
        <f t="shared" si="14"/>
        <v>26.151657451821201</v>
      </c>
    </row>
    <row r="23" spans="1:32" s="22" customFormat="1" x14ac:dyDescent="0.2">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32" s="22" customFormat="1" x14ac:dyDescent="0.2">
      <c r="A24" s="22" t="s">
        <v>27</v>
      </c>
      <c r="B24" s="20">
        <f t="shared" ref="B24:V24" si="15">SUM(B22:E22)</f>
        <v>107.00599999999999</v>
      </c>
      <c r="C24" s="20">
        <f t="shared" si="15"/>
        <v>98.905999999999977</v>
      </c>
      <c r="D24" s="20">
        <f t="shared" si="15"/>
        <v>90.84999999999998</v>
      </c>
      <c r="E24" s="20">
        <f t="shared" si="15"/>
        <v>88.364000000000004</v>
      </c>
      <c r="F24" s="20">
        <f t="shared" si="15"/>
        <v>90.021000000000015</v>
      </c>
      <c r="G24" s="20">
        <f t="shared" si="15"/>
        <v>96.369</v>
      </c>
      <c r="H24" s="20">
        <f t="shared" si="15"/>
        <v>98.727000000000018</v>
      </c>
      <c r="I24" s="20">
        <f t="shared" si="15"/>
        <v>100.41500000000002</v>
      </c>
      <c r="J24" s="20">
        <f t="shared" si="15"/>
        <v>97.777000000000001</v>
      </c>
      <c r="K24" s="20">
        <f t="shared" si="15"/>
        <v>95.68</v>
      </c>
      <c r="L24" s="20">
        <f t="shared" si="15"/>
        <v>96.058000000000021</v>
      </c>
      <c r="M24" s="20">
        <f t="shared" si="15"/>
        <v>89.699000000000012</v>
      </c>
      <c r="N24" s="20">
        <f t="shared" si="15"/>
        <v>86.968000000000004</v>
      </c>
      <c r="O24" s="20">
        <f t="shared" si="15"/>
        <v>85.498000000000005</v>
      </c>
      <c r="P24" s="20">
        <f t="shared" si="15"/>
        <v>85.78100000000002</v>
      </c>
      <c r="Q24" s="20">
        <f t="shared" si="15"/>
        <v>77.098700768741949</v>
      </c>
      <c r="R24" s="20">
        <f t="shared" si="15"/>
        <v>78.236537643659432</v>
      </c>
      <c r="S24" s="20">
        <f t="shared" si="15"/>
        <v>78.429134829692373</v>
      </c>
      <c r="T24" s="20">
        <f t="shared" si="15"/>
        <v>78.858337029969874</v>
      </c>
      <c r="U24" s="20">
        <f t="shared" si="15"/>
        <v>74.389451861152381</v>
      </c>
      <c r="V24" s="20">
        <f t="shared" si="15"/>
        <v>72.6132724380561</v>
      </c>
      <c r="W24" s="20"/>
      <c r="X24" s="20"/>
      <c r="Y24" s="20"/>
    </row>
    <row r="25" spans="1:32"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v>0</v>
      </c>
      <c r="U25" s="27">
        <v>0</v>
      </c>
      <c r="V25" s="27">
        <v>0</v>
      </c>
      <c r="W25" s="27"/>
      <c r="X25" s="27"/>
      <c r="Y25" s="27"/>
    </row>
    <row r="26" spans="1:32"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6"/>
      <c r="X26" s="26"/>
      <c r="Y26" s="26"/>
    </row>
    <row r="27" spans="1:32" s="24" customFormat="1" x14ac:dyDescent="0.2">
      <c r="A27" s="22" t="s">
        <v>24</v>
      </c>
      <c r="B27" s="20">
        <f t="shared" ref="B27" si="16">SUM(B24:B26)</f>
        <v>107.00599999999999</v>
      </c>
      <c r="C27" s="20">
        <f t="shared" ref="C27:D27" si="17">SUM(C24:C26)</f>
        <v>98.905999999999977</v>
      </c>
      <c r="D27" s="20">
        <f t="shared" si="17"/>
        <v>90.84999999999998</v>
      </c>
      <c r="E27" s="20">
        <f t="shared" ref="E27:F27" si="18">SUM(E24:E26)</f>
        <v>88.364000000000004</v>
      </c>
      <c r="F27" s="20">
        <f t="shared" si="18"/>
        <v>90.021000000000015</v>
      </c>
      <c r="G27" s="20">
        <f t="shared" ref="G27:H27" si="19">SUM(G24:G26)</f>
        <v>96.369</v>
      </c>
      <c r="H27" s="20">
        <f t="shared" si="19"/>
        <v>98.727000000000018</v>
      </c>
      <c r="I27" s="20">
        <f t="shared" ref="I27:J27" si="20">SUM(I24:I26)</f>
        <v>100.41500000000002</v>
      </c>
      <c r="J27" s="20">
        <f t="shared" si="20"/>
        <v>97.777000000000001</v>
      </c>
      <c r="K27" s="20">
        <f t="shared" ref="K27:L27" si="21">SUM(K24:K26)</f>
        <v>95.68</v>
      </c>
      <c r="L27" s="20">
        <f t="shared" si="21"/>
        <v>96.058000000000021</v>
      </c>
      <c r="M27" s="20">
        <f t="shared" ref="M27:V27" si="22">SUM(M24:M26)</f>
        <v>89.699000000000012</v>
      </c>
      <c r="N27" s="20">
        <f t="shared" si="22"/>
        <v>86.968000000000004</v>
      </c>
      <c r="O27" s="20">
        <f t="shared" si="22"/>
        <v>85.498000000000005</v>
      </c>
      <c r="P27" s="20">
        <f t="shared" si="22"/>
        <v>85.78100000000002</v>
      </c>
      <c r="Q27" s="20">
        <f t="shared" si="22"/>
        <v>77.098700768741949</v>
      </c>
      <c r="R27" s="20">
        <f t="shared" si="22"/>
        <v>78.236537643659432</v>
      </c>
      <c r="S27" s="20">
        <f t="shared" si="22"/>
        <v>78.429134829692373</v>
      </c>
      <c r="T27" s="20">
        <f t="shared" si="22"/>
        <v>78.858337029969874</v>
      </c>
      <c r="U27" s="20">
        <f t="shared" si="22"/>
        <v>74.389451861152381</v>
      </c>
      <c r="V27" s="20">
        <f t="shared" si="22"/>
        <v>72.6132724380561</v>
      </c>
      <c r="W27" s="25"/>
      <c r="X27" s="25"/>
      <c r="Y27" s="25"/>
    </row>
    <row r="28" spans="1:32" s="23" customFormat="1" x14ac:dyDescent="0.2"/>
    <row r="29" spans="1:32" s="22" customFormat="1" x14ac:dyDescent="0.2">
      <c r="A29" s="22" t="s">
        <v>23</v>
      </c>
      <c r="B29" s="20">
        <f t="shared" ref="B29:C29" si="23">B22</f>
        <v>31.352</v>
      </c>
      <c r="C29" s="20">
        <f t="shared" si="23"/>
        <v>9.9580000000000002</v>
      </c>
      <c r="D29" s="20">
        <f t="shared" ref="D29:E29" si="24">D22</f>
        <v>35.193999999999988</v>
      </c>
      <c r="E29" s="20">
        <f t="shared" si="24"/>
        <v>30.501999999999999</v>
      </c>
      <c r="F29" s="20">
        <f t="shared" ref="F29:G29" si="25">F22</f>
        <v>23.251999999999999</v>
      </c>
      <c r="G29" s="20">
        <f t="shared" si="25"/>
        <v>1.9019999999999999</v>
      </c>
      <c r="H29" s="20">
        <f t="shared" ref="H29:M29" si="26">H22</f>
        <v>32.707999999999998</v>
      </c>
      <c r="I29" s="20">
        <f t="shared" si="26"/>
        <v>32.159000000000013</v>
      </c>
      <c r="J29" s="20">
        <f t="shared" si="26"/>
        <v>29.6</v>
      </c>
      <c r="K29" s="20">
        <f t="shared" si="26"/>
        <v>4.26</v>
      </c>
      <c r="L29" s="20">
        <f t="shared" si="26"/>
        <v>34.396000000000008</v>
      </c>
      <c r="M29" s="20">
        <f t="shared" si="26"/>
        <v>29.521000000000001</v>
      </c>
      <c r="N29" s="20">
        <f t="shared" ref="N29:S29" si="27">N22</f>
        <v>27.503</v>
      </c>
      <c r="O29" s="20">
        <f t="shared" si="27"/>
        <v>4.6379999999999999</v>
      </c>
      <c r="P29" s="20">
        <f t="shared" si="27"/>
        <v>28.037000000000006</v>
      </c>
      <c r="Q29" s="20">
        <f t="shared" si="27"/>
        <v>26.79</v>
      </c>
      <c r="R29" s="20">
        <f t="shared" si="27"/>
        <v>26.033000000000001</v>
      </c>
      <c r="S29" s="20">
        <f t="shared" si="27"/>
        <v>4.9210000000000003</v>
      </c>
      <c r="T29" s="20"/>
      <c r="U29" s="20"/>
      <c r="V29" s="20"/>
      <c r="W29" s="20"/>
      <c r="X29" s="20"/>
      <c r="Y29" s="20"/>
      <c r="Z29" s="20"/>
    </row>
    <row r="30" spans="1:32" s="11" customFormat="1" x14ac:dyDescent="0.2">
      <c r="A30" s="19" t="s">
        <v>22</v>
      </c>
      <c r="B30" s="19">
        <v>-9.0150000000000006</v>
      </c>
      <c r="C30" s="19">
        <v>-9.2899999999999991</v>
      </c>
      <c r="D30" s="19">
        <v>-0.59999999999999787</v>
      </c>
      <c r="E30" s="19">
        <v>-9.1120000000000001</v>
      </c>
      <c r="F30" s="19">
        <v>-10.016</v>
      </c>
      <c r="G30" s="19">
        <v>-9.7129999999999992</v>
      </c>
      <c r="H30" s="19">
        <v>-6.117999999999995</v>
      </c>
      <c r="I30" s="19">
        <v>-11.026</v>
      </c>
      <c r="J30" s="19">
        <v>-11.034000000000001</v>
      </c>
      <c r="K30" s="19">
        <v>-11.173</v>
      </c>
      <c r="L30" s="19">
        <v>-8.1910000000000025</v>
      </c>
      <c r="M30" s="19">
        <v>-10.872999999999999</v>
      </c>
      <c r="N30" s="19">
        <v>-10.906000000000001</v>
      </c>
      <c r="O30" s="19">
        <v>-9.6509999999999998</v>
      </c>
      <c r="P30" s="19">
        <v>-9.6159999999999997</v>
      </c>
      <c r="Q30" s="19">
        <v>-5.42</v>
      </c>
      <c r="R30" s="19">
        <v>-4.9969999999999999</v>
      </c>
      <c r="S30" s="19">
        <v>-4.8529999999999998</v>
      </c>
      <c r="T30" s="19"/>
      <c r="U30" s="19"/>
      <c r="V30" s="19"/>
      <c r="W30" s="19"/>
      <c r="X30" s="19"/>
      <c r="Y30" s="19"/>
    </row>
    <row r="31" spans="1:32" s="11" customFormat="1" x14ac:dyDescent="0.2">
      <c r="A31" s="19" t="s">
        <v>21</v>
      </c>
      <c r="B31" s="19">
        <v>-5.4340000000000002</v>
      </c>
      <c r="C31" s="19">
        <v>-8.9999999999999993E-3</v>
      </c>
      <c r="D31" s="19">
        <v>2.4926000000000004</v>
      </c>
      <c r="E31" s="19">
        <v>0</v>
      </c>
      <c r="F31" s="19">
        <v>0</v>
      </c>
      <c r="G31" s="19">
        <v>0</v>
      </c>
      <c r="H31" s="19">
        <v>-12.175000000000001</v>
      </c>
      <c r="I31" s="19">
        <v>-2.9239999999999999</v>
      </c>
      <c r="J31" s="19">
        <v>0</v>
      </c>
      <c r="K31" s="19">
        <v>10.06</v>
      </c>
      <c r="L31" s="19">
        <v>10.896000000000001</v>
      </c>
      <c r="M31" s="19">
        <v>-0.28699999999999998</v>
      </c>
      <c r="N31" s="19">
        <v>0</v>
      </c>
      <c r="O31" s="19">
        <v>0</v>
      </c>
      <c r="P31" s="19">
        <v>5.8810000000000144</v>
      </c>
      <c r="Q31" s="19">
        <v>3.4510000000000001</v>
      </c>
      <c r="R31" s="19">
        <v>-2.46</v>
      </c>
      <c r="S31" s="19">
        <v>0</v>
      </c>
      <c r="T31" s="19"/>
      <c r="U31" s="19"/>
      <c r="V31" s="19"/>
      <c r="W31" s="19"/>
      <c r="X31" s="19"/>
      <c r="Y31" s="19"/>
    </row>
    <row r="32" spans="1:32" s="11" customFormat="1" x14ac:dyDescent="0.2">
      <c r="A32" s="19" t="s">
        <v>20</v>
      </c>
      <c r="B32" s="19">
        <v>8.1650000000000009</v>
      </c>
      <c r="C32" s="19">
        <v>-7.3424797047970483</v>
      </c>
      <c r="D32" s="19">
        <v>3.7440000000000033</v>
      </c>
      <c r="E32" s="19">
        <v>5.4499999999999993</v>
      </c>
      <c r="F32" s="19">
        <v>11.8</v>
      </c>
      <c r="G32" s="19">
        <v>0.43700000000000022</v>
      </c>
      <c r="H32" s="19">
        <v>-4.4199999999999982</v>
      </c>
      <c r="I32" s="19">
        <v>13.775999999999998</v>
      </c>
      <c r="J32" s="19">
        <v>-1.7950000000000004</v>
      </c>
      <c r="K32" s="19">
        <v>-9.1370000000000005</v>
      </c>
      <c r="L32" s="19">
        <v>-3.0730000000000004</v>
      </c>
      <c r="M32" s="19">
        <v>0</v>
      </c>
      <c r="N32" s="19">
        <f>-28.442-4.047+6.96+10.425-0.236-0.104+4.022-0.014</f>
        <v>-11.435999999999995</v>
      </c>
      <c r="O32" s="19">
        <f>11.522-5.853-2.413-5.719-0.08+0.137-3.976+0.24</f>
        <v>-6.1419999999999995</v>
      </c>
      <c r="P32" s="19">
        <f>36.697-Q32-R32-S32</f>
        <v>-19.914999999999988</v>
      </c>
      <c r="Q32" s="19">
        <f>-6.049+0.57-0.142-0.848-3.669+5.152+70.276-0.107</f>
        <v>65.182999999999993</v>
      </c>
      <c r="R32" s="19">
        <f>-19.742+0.624+0.841+6.984+0.063-0.006+6.999+0.029</f>
        <v>-4.2080000000000011</v>
      </c>
      <c r="S32" s="19">
        <f>12.711-3.046-3.162-4.58-0.114+0.03-6.267+0.065</f>
        <v>-4.3629999999999987</v>
      </c>
      <c r="T32" s="19"/>
      <c r="U32" s="19"/>
      <c r="V32" s="19"/>
      <c r="W32" s="19"/>
      <c r="X32" s="19"/>
      <c r="Y32" s="19"/>
      <c r="Z32" s="91"/>
      <c r="AA32" s="91"/>
      <c r="AB32" s="91"/>
      <c r="AC32" s="91"/>
      <c r="AD32" s="91"/>
      <c r="AE32" s="91"/>
      <c r="AF32" s="91"/>
    </row>
    <row r="33" spans="1:33" s="11" customFormat="1" x14ac:dyDescent="0.2">
      <c r="A33" s="19" t="s">
        <v>19</v>
      </c>
      <c r="B33" s="19">
        <v>-1.012</v>
      </c>
      <c r="C33" s="19">
        <v>-1.012</v>
      </c>
      <c r="D33" s="19">
        <v>-19.696000000000002</v>
      </c>
      <c r="E33" s="19">
        <v>4.3779999999999797</v>
      </c>
      <c r="F33" s="19">
        <v>-3.7130000000000098</v>
      </c>
      <c r="G33" s="19">
        <v>-1.853</v>
      </c>
      <c r="H33" s="19">
        <v>-3.1</v>
      </c>
      <c r="I33" s="19">
        <v>-3.3880000000000101</v>
      </c>
      <c r="J33" s="19">
        <v>-0.72999999999999698</v>
      </c>
      <c r="K33" s="19">
        <v>-11.879</v>
      </c>
      <c r="L33" s="19">
        <v>-5.6769999999999996</v>
      </c>
      <c r="M33" s="19">
        <v>-5.9719999999999835</v>
      </c>
      <c r="N33" s="19">
        <v>-0.83899999999999864</v>
      </c>
      <c r="O33" s="19">
        <v>-0.68899999999999295</v>
      </c>
      <c r="P33" s="19">
        <v>-13.162000000000006</v>
      </c>
      <c r="Q33" s="19">
        <v>-33.174000000000021</v>
      </c>
      <c r="R33" s="19">
        <v>-6.3110000000000106</v>
      </c>
      <c r="S33" s="19">
        <v>-2.887000000000004</v>
      </c>
      <c r="T33" s="19"/>
      <c r="U33" s="19"/>
      <c r="V33" s="19"/>
      <c r="W33" s="19"/>
      <c r="X33" s="19"/>
      <c r="Y33" s="19"/>
    </row>
    <row r="34" spans="1:33" s="11" customFormat="1" x14ac:dyDescent="0.2">
      <c r="A34" s="19" t="s">
        <v>18</v>
      </c>
      <c r="B34" s="21">
        <f t="shared" ref="B34:C34" si="28">B35-B29-B30-B31-B32-B33</f>
        <v>1.2339999999999995</v>
      </c>
      <c r="C34" s="21">
        <f t="shared" si="28"/>
        <v>9.1764797047970479</v>
      </c>
      <c r="D34" s="21">
        <f t="shared" ref="D34:E34" si="29">D35-D29-D30-D31-D32-D33</f>
        <v>4.1474000000000046</v>
      </c>
      <c r="E34" s="21">
        <f t="shared" si="29"/>
        <v>-5.505999999999978</v>
      </c>
      <c r="F34" s="21">
        <f t="shared" ref="F34:G34" si="30">F35-F29-F30-F31-F32-F33</f>
        <v>1.2600000000000087</v>
      </c>
      <c r="G34" s="21">
        <f t="shared" si="30"/>
        <v>0.75599999999999956</v>
      </c>
      <c r="H34" s="21">
        <f t="shared" ref="H34" si="31">H35-H29-H30-H31-H32-H33</f>
        <v>3.254</v>
      </c>
      <c r="I34" s="21">
        <f t="shared" ref="I34:S34" si="32">I35-I29-I30-I31-I32-I33</f>
        <v>1.3119999999999972</v>
      </c>
      <c r="J34" s="21">
        <f t="shared" si="32"/>
        <v>-1.3080000000000029</v>
      </c>
      <c r="K34" s="21">
        <f t="shared" si="32"/>
        <v>0.77500000000000036</v>
      </c>
      <c r="L34" s="21">
        <f t="shared" si="32"/>
        <v>-15.006000000000007</v>
      </c>
      <c r="M34" s="21">
        <f t="shared" si="32"/>
        <v>8.6969999999999814</v>
      </c>
      <c r="N34" s="21">
        <f t="shared" si="32"/>
        <v>0.77699999999999392</v>
      </c>
      <c r="O34" s="21">
        <f t="shared" si="32"/>
        <v>0.78699999999999193</v>
      </c>
      <c r="P34" s="21">
        <f t="shared" si="32"/>
        <v>28.405999999999977</v>
      </c>
      <c r="Q34" s="21">
        <f t="shared" si="32"/>
        <v>-43.737999999999971</v>
      </c>
      <c r="R34" s="21">
        <f t="shared" si="32"/>
        <v>0.39600000000001057</v>
      </c>
      <c r="S34" s="21">
        <f t="shared" si="32"/>
        <v>0.26000000000000245</v>
      </c>
      <c r="T34" s="21"/>
      <c r="U34" s="21"/>
      <c r="V34" s="21"/>
      <c r="W34" s="21"/>
      <c r="X34" s="21"/>
      <c r="Y34" s="21"/>
    </row>
    <row r="35" spans="1:33" s="20" customFormat="1" x14ac:dyDescent="0.2">
      <c r="A35" s="20" t="s">
        <v>17</v>
      </c>
      <c r="B35" s="20">
        <v>25.29</v>
      </c>
      <c r="C35" s="20">
        <v>1.4810000000000001</v>
      </c>
      <c r="D35" s="20">
        <v>25.281999999999996</v>
      </c>
      <c r="E35" s="20">
        <v>25.712</v>
      </c>
      <c r="F35" s="20">
        <v>22.582999999999998</v>
      </c>
      <c r="G35" s="20">
        <v>-8.4710000000000001</v>
      </c>
      <c r="H35" s="20">
        <v>10.149000000000004</v>
      </c>
      <c r="I35" s="20">
        <v>29.908999999999999</v>
      </c>
      <c r="J35" s="20">
        <v>14.733000000000001</v>
      </c>
      <c r="K35" s="20">
        <v>-17.094000000000001</v>
      </c>
      <c r="L35" s="20">
        <v>13.345000000000001</v>
      </c>
      <c r="M35" s="20">
        <v>21.085999999999999</v>
      </c>
      <c r="N35" s="20">
        <v>5.0990000000000002</v>
      </c>
      <c r="O35" s="20">
        <v>-11.057</v>
      </c>
      <c r="P35" s="20">
        <v>19.631000000000004</v>
      </c>
      <c r="Q35" s="20">
        <v>13.092000000000001</v>
      </c>
      <c r="R35" s="20">
        <v>8.4529999999999994</v>
      </c>
      <c r="S35" s="20">
        <v>-6.9219999999999997</v>
      </c>
    </row>
    <row r="36" spans="1:33" s="11" customFormat="1" x14ac:dyDescent="0.2">
      <c r="A36" s="19" t="s">
        <v>16</v>
      </c>
      <c r="B36" s="21">
        <v>-2.4289999999999998</v>
      </c>
      <c r="C36" s="21">
        <v>-1.94</v>
      </c>
      <c r="D36" s="21">
        <v>-4.1769999999999996</v>
      </c>
      <c r="E36" s="21">
        <v>-1.135</v>
      </c>
      <c r="F36" s="21">
        <v>-1.5069999999999999</v>
      </c>
      <c r="G36" s="21">
        <v>-2.4420000000000002</v>
      </c>
      <c r="H36" s="21">
        <v>-6.68</v>
      </c>
      <c r="I36" s="21">
        <v>-5.1020000000000003</v>
      </c>
      <c r="J36" s="21">
        <v>-6.2210000000000001</v>
      </c>
      <c r="K36" s="21">
        <v>-5.4589999999999996</v>
      </c>
      <c r="L36" s="21">
        <v>-4.3470000000000013</v>
      </c>
      <c r="M36" s="21">
        <v>-2.69</v>
      </c>
      <c r="N36" s="21">
        <v>-4.0049999999999999</v>
      </c>
      <c r="O36" s="21">
        <v>-2.8580000000000001</v>
      </c>
      <c r="P36" s="21">
        <v>-3.327</v>
      </c>
      <c r="Q36" s="21">
        <v>-3.2309999999999999</v>
      </c>
      <c r="R36" s="21">
        <v>-1.571</v>
      </c>
      <c r="S36" s="21">
        <v>-1.3360000000000001</v>
      </c>
      <c r="T36" s="21"/>
      <c r="U36" s="21"/>
      <c r="V36" s="21"/>
      <c r="W36" s="21"/>
      <c r="X36" s="21"/>
      <c r="Y36" s="21"/>
    </row>
    <row r="37" spans="1:33" s="20" customFormat="1" x14ac:dyDescent="0.2">
      <c r="A37" s="20" t="s">
        <v>15</v>
      </c>
      <c r="B37" s="20">
        <f t="shared" ref="B37:S37" si="33">B35+B36</f>
        <v>22.861000000000001</v>
      </c>
      <c r="C37" s="20">
        <f t="shared" si="33"/>
        <v>-0.45899999999999985</v>
      </c>
      <c r="D37" s="20">
        <f t="shared" si="33"/>
        <v>21.104999999999997</v>
      </c>
      <c r="E37" s="20">
        <f t="shared" si="33"/>
        <v>24.576999999999998</v>
      </c>
      <c r="F37" s="20">
        <f t="shared" si="33"/>
        <v>21.075999999999997</v>
      </c>
      <c r="G37" s="20">
        <f t="shared" si="33"/>
        <v>-10.913</v>
      </c>
      <c r="H37" s="20">
        <f t="shared" si="33"/>
        <v>3.4690000000000047</v>
      </c>
      <c r="I37" s="20">
        <f t="shared" si="33"/>
        <v>24.806999999999999</v>
      </c>
      <c r="J37" s="20">
        <f t="shared" si="33"/>
        <v>8.5120000000000005</v>
      </c>
      <c r="K37" s="20">
        <f t="shared" si="33"/>
        <v>-22.553000000000001</v>
      </c>
      <c r="L37" s="20">
        <f t="shared" si="33"/>
        <v>8.9979999999999993</v>
      </c>
      <c r="M37" s="20">
        <f t="shared" si="33"/>
        <v>18.395999999999997</v>
      </c>
      <c r="N37" s="20">
        <f t="shared" si="33"/>
        <v>1.0940000000000003</v>
      </c>
      <c r="O37" s="20">
        <f t="shared" si="33"/>
        <v>-13.915000000000001</v>
      </c>
      <c r="P37" s="20">
        <f t="shared" si="33"/>
        <v>16.304000000000002</v>
      </c>
      <c r="Q37" s="20">
        <f t="shared" si="33"/>
        <v>9.8610000000000007</v>
      </c>
      <c r="R37" s="20">
        <f t="shared" si="33"/>
        <v>6.8819999999999997</v>
      </c>
      <c r="S37" s="20">
        <f t="shared" si="33"/>
        <v>-8.2579999999999991</v>
      </c>
    </row>
    <row r="38" spans="1:33" x14ac:dyDescent="0.2">
      <c r="AG38" s="11"/>
    </row>
    <row r="39" spans="1:33" s="16" customFormat="1" x14ac:dyDescent="0.2">
      <c r="A39" s="18" t="s">
        <v>14</v>
      </c>
      <c r="B39" s="19">
        <v>0</v>
      </c>
      <c r="C39" s="19">
        <v>0</v>
      </c>
      <c r="D39" s="19">
        <v>0</v>
      </c>
      <c r="E39" s="19">
        <v>0</v>
      </c>
      <c r="F39" s="19">
        <v>0</v>
      </c>
      <c r="G39" s="19">
        <v>45</v>
      </c>
      <c r="H39" s="19">
        <v>0</v>
      </c>
      <c r="I39" s="19">
        <v>0</v>
      </c>
      <c r="J39" s="19">
        <v>0</v>
      </c>
      <c r="K39" s="19">
        <v>0</v>
      </c>
      <c r="L39" s="19">
        <v>0</v>
      </c>
      <c r="M39" s="19">
        <v>0</v>
      </c>
      <c r="N39" s="19">
        <v>7.5</v>
      </c>
      <c r="O39" s="19">
        <v>7</v>
      </c>
      <c r="P39" s="19">
        <v>0</v>
      </c>
      <c r="Q39" s="19">
        <v>0</v>
      </c>
      <c r="R39" s="19">
        <v>0</v>
      </c>
      <c r="S39" s="19"/>
      <c r="T39" s="19"/>
      <c r="U39" s="19"/>
      <c r="V39" s="19"/>
      <c r="W39" s="19"/>
      <c r="X39" s="19"/>
      <c r="Y39" s="19"/>
    </row>
    <row r="40" spans="1:33" s="16" customFormat="1" x14ac:dyDescent="0.2">
      <c r="A40" s="18" t="s">
        <v>13</v>
      </c>
      <c r="B40" s="19">
        <v>404.00800000000004</v>
      </c>
      <c r="C40" s="19">
        <v>405.05700000000002</v>
      </c>
      <c r="D40" s="19">
        <v>406.10599999999999</v>
      </c>
      <c r="E40" s="19">
        <v>407.20604440000005</v>
      </c>
      <c r="F40" s="19">
        <v>408.25504440000003</v>
      </c>
      <c r="G40" s="19">
        <v>409.27823999999998</v>
      </c>
      <c r="H40" s="19">
        <v>410.30399999999997</v>
      </c>
      <c r="I40" s="19">
        <v>412.40100000000001</v>
      </c>
      <c r="J40" s="19">
        <v>412.40200000000004</v>
      </c>
      <c r="K40" s="19">
        <v>413.45100000000002</v>
      </c>
      <c r="L40" s="19">
        <v>414.50099999999998</v>
      </c>
      <c r="M40" s="19">
        <f>411.85+3.7</f>
        <v>415.55</v>
      </c>
      <c r="N40" s="19">
        <v>363.52499999999998</v>
      </c>
      <c r="O40" s="19">
        <v>364.45</v>
      </c>
      <c r="P40" s="19">
        <v>369.07499999999999</v>
      </c>
      <c r="Q40" s="19">
        <v>370</v>
      </c>
      <c r="R40" s="19">
        <v>370</v>
      </c>
      <c r="S40" s="19"/>
      <c r="T40" s="19"/>
      <c r="U40" s="19"/>
      <c r="V40" s="19"/>
      <c r="W40" s="19"/>
      <c r="X40" s="19"/>
      <c r="Y40" s="19"/>
    </row>
    <row r="41" spans="1:33" s="16" customFormat="1" x14ac:dyDescent="0.2">
      <c r="A41" s="18" t="s">
        <v>12</v>
      </c>
      <c r="B41" s="19">
        <f t="shared" ref="B41:R41" si="34">B39+B40+145</f>
        <v>549.00800000000004</v>
      </c>
      <c r="C41" s="19">
        <f t="shared" si="34"/>
        <v>550.05700000000002</v>
      </c>
      <c r="D41" s="19">
        <f t="shared" si="34"/>
        <v>551.10599999999999</v>
      </c>
      <c r="E41" s="19">
        <f t="shared" si="34"/>
        <v>552.20604440000011</v>
      </c>
      <c r="F41" s="19">
        <f t="shared" si="34"/>
        <v>553.25504440000009</v>
      </c>
      <c r="G41" s="19">
        <f t="shared" si="34"/>
        <v>599.27823999999998</v>
      </c>
      <c r="H41" s="19">
        <f t="shared" si="34"/>
        <v>555.30399999999997</v>
      </c>
      <c r="I41" s="19">
        <f t="shared" si="34"/>
        <v>557.40100000000007</v>
      </c>
      <c r="J41" s="19">
        <f t="shared" si="34"/>
        <v>557.40200000000004</v>
      </c>
      <c r="K41" s="19">
        <f t="shared" si="34"/>
        <v>558.45100000000002</v>
      </c>
      <c r="L41" s="19">
        <f t="shared" si="34"/>
        <v>559.50099999999998</v>
      </c>
      <c r="M41" s="19">
        <f t="shared" si="34"/>
        <v>560.54999999999995</v>
      </c>
      <c r="N41" s="19">
        <f t="shared" si="34"/>
        <v>516.02499999999998</v>
      </c>
      <c r="O41" s="19">
        <f t="shared" si="34"/>
        <v>516.45000000000005</v>
      </c>
      <c r="P41" s="19">
        <f t="shared" si="34"/>
        <v>514.07500000000005</v>
      </c>
      <c r="Q41" s="19">
        <f t="shared" si="34"/>
        <v>515</v>
      </c>
      <c r="R41" s="19">
        <f t="shared" si="34"/>
        <v>515</v>
      </c>
      <c r="S41" s="19"/>
      <c r="T41" s="19"/>
      <c r="U41" s="19"/>
      <c r="V41" s="19"/>
      <c r="W41" s="19"/>
      <c r="X41" s="19"/>
      <c r="Y41" s="19"/>
    </row>
    <row r="42" spans="1:33" s="16" customFormat="1" x14ac:dyDescent="0.2">
      <c r="A42" s="18" t="s">
        <v>11</v>
      </c>
      <c r="B42" s="17">
        <v>285</v>
      </c>
      <c r="C42" s="17">
        <v>285</v>
      </c>
      <c r="D42" s="17">
        <v>285</v>
      </c>
      <c r="E42" s="17">
        <v>285</v>
      </c>
      <c r="F42" s="17">
        <v>285</v>
      </c>
      <c r="G42" s="17">
        <v>285</v>
      </c>
      <c r="H42" s="17">
        <v>285</v>
      </c>
      <c r="I42" s="17">
        <v>285</v>
      </c>
      <c r="J42" s="17">
        <v>285</v>
      </c>
      <c r="K42" s="17">
        <v>285</v>
      </c>
      <c r="L42" s="17">
        <v>285</v>
      </c>
      <c r="M42" s="17">
        <v>285</v>
      </c>
      <c r="N42" s="17">
        <v>285</v>
      </c>
      <c r="O42" s="17">
        <v>285</v>
      </c>
      <c r="P42" s="17">
        <v>285</v>
      </c>
      <c r="Q42" s="17">
        <v>285</v>
      </c>
      <c r="R42" s="17">
        <v>285</v>
      </c>
      <c r="S42" s="17"/>
      <c r="T42" s="17"/>
      <c r="U42" s="17"/>
      <c r="V42" s="17"/>
      <c r="W42" s="17"/>
      <c r="X42" s="17"/>
      <c r="Y42" s="17"/>
    </row>
    <row r="43" spans="1:33" x14ac:dyDescent="0.2">
      <c r="B43" s="16"/>
      <c r="C43" s="16"/>
      <c r="D43" s="16"/>
      <c r="E43" s="16"/>
      <c r="F43" s="16"/>
      <c r="G43" s="16"/>
      <c r="H43" s="16"/>
      <c r="I43" s="16"/>
      <c r="J43" s="16"/>
      <c r="K43" s="16"/>
      <c r="L43" s="16"/>
      <c r="M43" s="16"/>
      <c r="N43" s="16"/>
      <c r="O43" s="16"/>
      <c r="P43" s="16"/>
      <c r="Q43" s="16"/>
      <c r="R43" s="16"/>
      <c r="S43" s="16"/>
      <c r="T43" s="16"/>
    </row>
    <row r="44" spans="1:33" x14ac:dyDescent="0.2">
      <c r="A44" s="15" t="s">
        <v>10</v>
      </c>
      <c r="B44" s="27">
        <v>83.454999999999998</v>
      </c>
      <c r="C44" s="27">
        <v>61.69</v>
      </c>
      <c r="D44" s="27">
        <v>59.963000000000001</v>
      </c>
      <c r="E44" s="27">
        <v>79.613</v>
      </c>
      <c r="F44" s="27">
        <v>55.917999999999999</v>
      </c>
      <c r="G44" s="27">
        <v>81.016999999999996</v>
      </c>
      <c r="H44" s="27">
        <v>53.558</v>
      </c>
      <c r="I44" s="27">
        <v>45.430999999999997</v>
      </c>
      <c r="J44" s="27">
        <v>20.777000000000001</v>
      </c>
      <c r="K44" s="27">
        <v>17.606000000000002</v>
      </c>
      <c r="L44" s="27">
        <v>45.44</v>
      </c>
      <c r="M44" s="27">
        <v>45.938000000000002</v>
      </c>
      <c r="N44" s="27">
        <v>1.25</v>
      </c>
      <c r="O44" s="27">
        <v>0.72399999999999998</v>
      </c>
      <c r="P44" s="27">
        <v>5.6630000000000003</v>
      </c>
      <c r="Q44" s="27">
        <v>16.154</v>
      </c>
      <c r="R44" s="27">
        <v>0</v>
      </c>
      <c r="S44" s="14"/>
      <c r="T44" s="14"/>
      <c r="U44" s="14"/>
      <c r="V44" s="14"/>
      <c r="W44" s="14"/>
      <c r="X44" s="14"/>
      <c r="Y44" s="14"/>
    </row>
    <row r="46" spans="1:33" x14ac:dyDescent="0.2">
      <c r="A46" s="1" t="s">
        <v>9</v>
      </c>
      <c r="B46" s="11">
        <f t="shared" ref="B46:V46" si="35">SUM(B12:E12)</f>
        <v>612.10699999999997</v>
      </c>
      <c r="C46" s="11">
        <f t="shared" si="35"/>
        <v>565.28800000000001</v>
      </c>
      <c r="D46" s="11">
        <f t="shared" si="35"/>
        <v>545.36099999999999</v>
      </c>
      <c r="E46" s="11">
        <f t="shared" si="35"/>
        <v>567.12699999999995</v>
      </c>
      <c r="F46" s="11">
        <f t="shared" si="35"/>
        <v>593.57799999999997</v>
      </c>
      <c r="G46" s="11">
        <f t="shared" si="35"/>
        <v>631.73400000000004</v>
      </c>
      <c r="H46" s="11">
        <f t="shared" si="35"/>
        <v>634.35900000000004</v>
      </c>
      <c r="I46" s="11">
        <f t="shared" si="35"/>
        <v>617.6</v>
      </c>
      <c r="J46" s="11">
        <f t="shared" si="35"/>
        <v>595.11599999999999</v>
      </c>
      <c r="K46" s="11">
        <f t="shared" si="35"/>
        <v>581.94299999999998</v>
      </c>
      <c r="L46" s="11">
        <f t="shared" si="35"/>
        <v>575.65800000000002</v>
      </c>
      <c r="M46" s="11">
        <f t="shared" si="35"/>
        <v>553.49199999999996</v>
      </c>
      <c r="N46" s="11">
        <f t="shared" si="35"/>
        <v>545.04099999999994</v>
      </c>
      <c r="O46" s="11">
        <f t="shared" si="35"/>
        <v>521.83199999999999</v>
      </c>
      <c r="P46" s="11">
        <f t="shared" si="35"/>
        <v>503.71699999999998</v>
      </c>
      <c r="Q46" s="11">
        <f t="shared" si="35"/>
        <v>500.10028201974802</v>
      </c>
      <c r="R46" s="11">
        <f t="shared" si="35"/>
        <v>497.71838372830115</v>
      </c>
      <c r="S46" s="11">
        <f t="shared" si="35"/>
        <v>504.32279304112728</v>
      </c>
      <c r="T46" s="11">
        <f t="shared" si="35"/>
        <v>514.41335453388592</v>
      </c>
      <c r="U46" s="11">
        <f t="shared" si="35"/>
        <v>506.030171614138</v>
      </c>
      <c r="V46" s="11">
        <f t="shared" si="35"/>
        <v>500.85138574558471</v>
      </c>
    </row>
    <row r="47" spans="1:33" x14ac:dyDescent="0.2">
      <c r="A47" s="1" t="s">
        <v>8</v>
      </c>
      <c r="B47" s="11">
        <f t="shared" ref="B47" si="36">+B27</f>
        <v>107.00599999999999</v>
      </c>
      <c r="C47" s="11">
        <f t="shared" ref="C47:D47" si="37">+C27</f>
        <v>98.905999999999977</v>
      </c>
      <c r="D47" s="11">
        <f t="shared" si="37"/>
        <v>90.84999999999998</v>
      </c>
      <c r="E47" s="11">
        <f t="shared" ref="E47:F47" si="38">+E27</f>
        <v>88.364000000000004</v>
      </c>
      <c r="F47" s="11">
        <f t="shared" si="38"/>
        <v>90.021000000000015</v>
      </c>
      <c r="G47" s="11">
        <f t="shared" ref="G47:H47" si="39">+G27</f>
        <v>96.369</v>
      </c>
      <c r="H47" s="11">
        <f t="shared" si="39"/>
        <v>98.727000000000018</v>
      </c>
      <c r="I47" s="11">
        <f t="shared" ref="I47:J47" si="40">+I27</f>
        <v>100.41500000000002</v>
      </c>
      <c r="J47" s="11">
        <f t="shared" si="40"/>
        <v>97.777000000000001</v>
      </c>
      <c r="K47" s="11">
        <f t="shared" ref="K47:L47" si="41">+K27</f>
        <v>95.68</v>
      </c>
      <c r="L47" s="11">
        <f t="shared" si="41"/>
        <v>96.058000000000021</v>
      </c>
      <c r="M47" s="11">
        <f t="shared" ref="M47:V47" si="42">+M27</f>
        <v>89.699000000000012</v>
      </c>
      <c r="N47" s="11">
        <f t="shared" si="42"/>
        <v>86.968000000000004</v>
      </c>
      <c r="O47" s="11">
        <f t="shared" si="42"/>
        <v>85.498000000000005</v>
      </c>
      <c r="P47" s="11">
        <f t="shared" si="42"/>
        <v>85.78100000000002</v>
      </c>
      <c r="Q47" s="11">
        <f t="shared" si="42"/>
        <v>77.098700768741949</v>
      </c>
      <c r="R47" s="11">
        <f t="shared" si="42"/>
        <v>78.236537643659432</v>
      </c>
      <c r="S47" s="11">
        <f t="shared" si="42"/>
        <v>78.429134829692373</v>
      </c>
      <c r="T47" s="11">
        <f t="shared" si="42"/>
        <v>78.858337029969874</v>
      </c>
      <c r="U47" s="11">
        <f t="shared" si="42"/>
        <v>74.389451861152381</v>
      </c>
      <c r="V47" s="11">
        <f t="shared" si="42"/>
        <v>72.6132724380561</v>
      </c>
    </row>
    <row r="48" spans="1:33" x14ac:dyDescent="0.2">
      <c r="A48" s="1" t="s">
        <v>7</v>
      </c>
      <c r="B48" s="13">
        <f t="shared" ref="B48:P48" si="43">SUM(B37:E37)</f>
        <v>68.084000000000003</v>
      </c>
      <c r="C48" s="13">
        <f t="shared" si="43"/>
        <v>66.298999999999992</v>
      </c>
      <c r="D48" s="13">
        <f t="shared" si="43"/>
        <v>55.844999999999999</v>
      </c>
      <c r="E48" s="13">
        <f t="shared" si="43"/>
        <v>38.209000000000003</v>
      </c>
      <c r="F48" s="13">
        <f t="shared" si="43"/>
        <v>38.439</v>
      </c>
      <c r="G48" s="13">
        <f t="shared" si="43"/>
        <v>25.875000000000004</v>
      </c>
      <c r="H48" s="13">
        <f t="shared" si="43"/>
        <v>14.235000000000003</v>
      </c>
      <c r="I48" s="13">
        <f t="shared" si="43"/>
        <v>19.764000000000003</v>
      </c>
      <c r="J48" s="13">
        <f t="shared" si="43"/>
        <v>13.352999999999996</v>
      </c>
      <c r="K48" s="13">
        <f t="shared" si="43"/>
        <v>5.9349999999999961</v>
      </c>
      <c r="L48" s="13">
        <f t="shared" si="43"/>
        <v>14.572999999999999</v>
      </c>
      <c r="M48" s="13">
        <f t="shared" si="43"/>
        <v>21.878999999999998</v>
      </c>
      <c r="N48" s="13">
        <f t="shared" si="43"/>
        <v>13.344000000000001</v>
      </c>
      <c r="O48" s="13">
        <f t="shared" si="43"/>
        <v>19.132000000000001</v>
      </c>
      <c r="P48" s="13">
        <f t="shared" si="43"/>
        <v>24.789000000000005</v>
      </c>
      <c r="Q48" s="13">
        <f>Q47*R48/R47</f>
        <v>21.482950644030559</v>
      </c>
      <c r="R48" s="12">
        <v>21.799999999999997</v>
      </c>
      <c r="S48" s="11"/>
      <c r="T48" s="11"/>
      <c r="U48" s="11"/>
      <c r="V48" s="11"/>
    </row>
    <row r="50" spans="1:25" s="10" customFormat="1" x14ac:dyDescent="0.2">
      <c r="A50" s="10" t="s">
        <v>6</v>
      </c>
      <c r="B50" s="10">
        <f t="shared" ref="B50" si="44">+SUM(B39:B40)/B47</f>
        <v>3.7755639870661466</v>
      </c>
      <c r="C50" s="10">
        <f t="shared" ref="C50:D50" si="45">+SUM(C39:C40)/C47</f>
        <v>4.095373384830042</v>
      </c>
      <c r="D50" s="10">
        <f t="shared" si="45"/>
        <v>4.4700715465052294</v>
      </c>
      <c r="E50" s="10">
        <f t="shared" ref="E50:F50" si="46">+SUM(E39:E40)/E47</f>
        <v>4.608279892263818</v>
      </c>
      <c r="F50" s="10">
        <f t="shared" si="46"/>
        <v>4.5351089679074876</v>
      </c>
      <c r="G50" s="10">
        <f t="shared" ref="G50:H50" si="47">+SUM(G39:G40)/G47</f>
        <v>4.7139457709429378</v>
      </c>
      <c r="H50" s="10">
        <f t="shared" si="47"/>
        <v>4.1559451821690105</v>
      </c>
      <c r="I50" s="10">
        <f t="shared" ref="I50:J50" si="48">+SUM(I39:I40)/I47</f>
        <v>4.1069660907234971</v>
      </c>
      <c r="J50" s="10">
        <f t="shared" si="48"/>
        <v>4.217781277805619</v>
      </c>
      <c r="K50" s="10">
        <f t="shared" ref="K50:L50" si="49">+SUM(K39:K40)/K47</f>
        <v>4.3211852006688964</v>
      </c>
      <c r="L50" s="10">
        <f t="shared" si="49"/>
        <v>4.3151117033458943</v>
      </c>
      <c r="M50" s="10">
        <f t="shared" ref="M50:R50" si="50">+SUM(M39:M40)/M47</f>
        <v>4.6327160837913457</v>
      </c>
      <c r="N50" s="10">
        <f t="shared" si="50"/>
        <v>4.2662243583846928</v>
      </c>
      <c r="O50" s="10">
        <f t="shared" si="50"/>
        <v>4.3445460712531281</v>
      </c>
      <c r="P50" s="10">
        <f t="shared" si="50"/>
        <v>4.3025262004406555</v>
      </c>
      <c r="Q50" s="10">
        <f t="shared" si="50"/>
        <v>4.7990432563814194</v>
      </c>
      <c r="R50" s="10">
        <f t="shared" si="50"/>
        <v>4.7292481383215472</v>
      </c>
    </row>
    <row r="51" spans="1:25" s="10" customFormat="1" x14ac:dyDescent="0.2">
      <c r="A51" s="10" t="s">
        <v>5</v>
      </c>
      <c r="B51" s="10">
        <f t="shared" ref="B51" si="51">+B41/B47</f>
        <v>5.1306281890735113</v>
      </c>
      <c r="C51" s="10">
        <f t="shared" ref="C51:D51" si="52">+C41/C47</f>
        <v>5.5614118455907642</v>
      </c>
      <c r="D51" s="10">
        <f t="shared" si="52"/>
        <v>6.0661089708310412</v>
      </c>
      <c r="E51" s="10">
        <f t="shared" ref="E51:F51" si="53">+E41/E47</f>
        <v>6.2492196414829575</v>
      </c>
      <c r="F51" s="10">
        <f t="shared" si="53"/>
        <v>6.1458442407882607</v>
      </c>
      <c r="G51" s="10">
        <f t="shared" ref="G51:H51" si="54">+G41/G47</f>
        <v>6.2185790036214961</v>
      </c>
      <c r="H51" s="10">
        <f t="shared" si="54"/>
        <v>5.6246416886971131</v>
      </c>
      <c r="I51" s="10">
        <f t="shared" ref="I51:J51" si="55">+I41/I47</f>
        <v>5.5509734601404164</v>
      </c>
      <c r="J51" s="10">
        <f t="shared" si="55"/>
        <v>5.7007476195833382</v>
      </c>
      <c r="K51" s="10">
        <f t="shared" ref="K51:L51" si="56">+K41/K47</f>
        <v>5.8366534280936451</v>
      </c>
      <c r="L51" s="10">
        <f t="shared" si="56"/>
        <v>5.8246163776051949</v>
      </c>
      <c r="M51" s="10">
        <f t="shared" ref="M51:R51" si="57">+M41/M47</f>
        <v>6.2492335477541543</v>
      </c>
      <c r="N51" s="10">
        <f t="shared" si="57"/>
        <v>5.9335042774353779</v>
      </c>
      <c r="O51" s="10">
        <f t="shared" si="57"/>
        <v>6.0404921752555616</v>
      </c>
      <c r="P51" s="10">
        <f t="shared" si="57"/>
        <v>5.9928772105711046</v>
      </c>
      <c r="Q51" s="10">
        <f t="shared" si="57"/>
        <v>6.6797493973957591</v>
      </c>
      <c r="R51" s="10">
        <f t="shared" si="57"/>
        <v>6.5826021384745861</v>
      </c>
    </row>
    <row r="52" spans="1:25" s="10" customFormat="1" x14ac:dyDescent="0.2">
      <c r="A52" s="10" t="s">
        <v>4</v>
      </c>
      <c r="B52" s="10">
        <f t="shared" ref="B52" si="58">+(B41-B44)/B47</f>
        <v>4.3507186512905829</v>
      </c>
      <c r="C52" s="10">
        <f t="shared" ref="C52:D52" si="59">+(C41-C44)/C47</f>
        <v>4.9376883101126339</v>
      </c>
      <c r="D52" s="10">
        <f t="shared" si="59"/>
        <v>5.4060869565217402</v>
      </c>
      <c r="E52" s="10">
        <f t="shared" ref="E52:F52" si="60">+(E41-E44)/E47</f>
        <v>5.3482531845547969</v>
      </c>
      <c r="F52" s="10">
        <f t="shared" si="60"/>
        <v>5.5246780684506946</v>
      </c>
      <c r="G52" s="10">
        <f t="shared" ref="G52:H52" si="61">+(G41-G44)/G47</f>
        <v>5.3778833442289535</v>
      </c>
      <c r="H52" s="10">
        <f t="shared" si="61"/>
        <v>5.0821558438927532</v>
      </c>
      <c r="I52" s="10">
        <f t="shared" ref="I52:J52" si="62">+(I41-I44)/I47</f>
        <v>5.098541054623313</v>
      </c>
      <c r="J52" s="10">
        <f t="shared" si="62"/>
        <v>5.4882538838377126</v>
      </c>
      <c r="K52" s="10">
        <f t="shared" ref="K52:L52" si="63">+(K41-K44)/K47</f>
        <v>5.6526442307692308</v>
      </c>
      <c r="L52" s="10">
        <f t="shared" si="63"/>
        <v>5.3515688438235216</v>
      </c>
      <c r="M52" s="10">
        <f t="shared" ref="M52:R52" si="64">+(M41-M44)/M47</f>
        <v>5.7370985183781302</v>
      </c>
      <c r="N52" s="10">
        <f t="shared" si="64"/>
        <v>5.9191311746849413</v>
      </c>
      <c r="O52" s="10">
        <f t="shared" si="64"/>
        <v>6.0320241409155768</v>
      </c>
      <c r="P52" s="10">
        <f t="shared" si="64"/>
        <v>5.9268602604306304</v>
      </c>
      <c r="Q52" s="10">
        <f t="shared" si="64"/>
        <v>6.4702257628995827</v>
      </c>
      <c r="R52" s="10">
        <f t="shared" si="64"/>
        <v>6.5826021384745861</v>
      </c>
    </row>
    <row r="53" spans="1:25" s="6" customFormat="1" x14ac:dyDescent="0.2">
      <c r="A53" s="6" t="s">
        <v>3</v>
      </c>
      <c r="B53" s="6">
        <f t="shared" ref="B53" si="65">+B48/B41</f>
        <v>0.12401276484131378</v>
      </c>
      <c r="C53" s="6">
        <f t="shared" ref="C53:D53" si="66">+C48/C41</f>
        <v>0.12053114495406837</v>
      </c>
      <c r="D53" s="6">
        <f t="shared" si="66"/>
        <v>0.10133259300388672</v>
      </c>
      <c r="E53" s="6">
        <f t="shared" ref="E53:F53" si="67">+E48/E41</f>
        <v>6.9193375167626095E-2</v>
      </c>
      <c r="F53" s="6">
        <f t="shared" si="67"/>
        <v>6.9477902441335601E-2</v>
      </c>
      <c r="G53" s="6">
        <f t="shared" ref="G53:H53" si="68">+G48/G41</f>
        <v>4.3176938979129303E-2</v>
      </c>
      <c r="H53" s="6">
        <f t="shared" si="68"/>
        <v>2.5634607350208182E-2</v>
      </c>
      <c r="I53" s="6">
        <f t="shared" ref="I53:J53" si="69">+I48/I41</f>
        <v>3.5457417550381141E-2</v>
      </c>
      <c r="J53" s="6">
        <f t="shared" si="69"/>
        <v>2.3955780567705167E-2</v>
      </c>
      <c r="K53" s="6">
        <f t="shared" ref="K53:L53" si="70">+K48/K41</f>
        <v>1.0627611016902102E-2</v>
      </c>
      <c r="L53" s="6">
        <f t="shared" si="70"/>
        <v>2.6046423509520088E-2</v>
      </c>
      <c r="M53" s="6">
        <f t="shared" ref="M53:R53" si="71">+M48/M41</f>
        <v>3.9031308536259031E-2</v>
      </c>
      <c r="N53" s="6">
        <f t="shared" si="71"/>
        <v>2.5859212247468635E-2</v>
      </c>
      <c r="O53" s="6">
        <f t="shared" si="71"/>
        <v>3.7045212508471294E-2</v>
      </c>
      <c r="P53" s="6">
        <f t="shared" si="71"/>
        <v>4.8220590380781019E-2</v>
      </c>
      <c r="Q53" s="6">
        <f t="shared" si="71"/>
        <v>4.1714467269962252E-2</v>
      </c>
      <c r="R53" s="6">
        <f t="shared" si="71"/>
        <v>4.2330097087378636E-2</v>
      </c>
    </row>
    <row r="54" spans="1:25" s="6" customFormat="1" x14ac:dyDescent="0.2">
      <c r="A54" s="8" t="s">
        <v>2</v>
      </c>
      <c r="B54" s="9"/>
      <c r="C54" s="9"/>
      <c r="D54" s="9"/>
      <c r="E54" s="9"/>
      <c r="F54" s="9"/>
      <c r="G54" s="9"/>
      <c r="H54" s="9"/>
      <c r="I54" s="9"/>
      <c r="J54" s="9"/>
      <c r="K54" s="9"/>
      <c r="L54" s="9"/>
      <c r="M54" s="9"/>
      <c r="N54" s="9"/>
      <c r="O54" s="9"/>
      <c r="P54" s="9"/>
      <c r="Q54" s="9"/>
      <c r="R54" s="9"/>
      <c r="S54" s="9"/>
      <c r="T54" s="9"/>
      <c r="U54" s="9"/>
      <c r="V54" s="9"/>
      <c r="W54" s="8"/>
      <c r="X54" s="8"/>
      <c r="Y54" s="8"/>
    </row>
    <row r="55" spans="1:25" s="6" customFormat="1" x14ac:dyDescent="0.2">
      <c r="A55" s="6" t="s">
        <v>1</v>
      </c>
      <c r="B55" s="7">
        <f t="shared" ref="B55" si="72">IF(B42=0,IF(B54="","","*"&amp;TEXT(B54,"0.0x")),(B41+B42-B44)/B47)</f>
        <v>7.0141207035119537</v>
      </c>
      <c r="C55" s="7">
        <f t="shared" ref="C55:D55" si="73">IF(C42=0,IF(C54="","","*"&amp;TEXT(C54,"0.0x")),(C41+C42-C44)/C47)</f>
        <v>7.8192121812630191</v>
      </c>
      <c r="D55" s="7">
        <f t="shared" si="73"/>
        <v>8.5431260319207514</v>
      </c>
      <c r="E55" s="7">
        <f t="shared" ref="E55:F55" si="74">IF(E42=0,IF(E54="","","*"&amp;TEXT(E54,"0.0x")),(E41+E42-E44)/E47)</f>
        <v>8.5735485537096565</v>
      </c>
      <c r="F55" s="7">
        <f t="shared" si="74"/>
        <v>8.6906060185956608</v>
      </c>
      <c r="G55" s="7">
        <f t="shared" ref="G55:H55" si="75">IF(G42=0,IF(G54="","","*"&amp;TEXT(G54,"0.0x")),(G41+G42-G44)/G47)</f>
        <v>8.3352659050109477</v>
      </c>
      <c r="H55" s="7">
        <f t="shared" si="75"/>
        <v>7.9689041498273001</v>
      </c>
      <c r="I55" s="7">
        <f t="shared" ref="I55:J55" si="76">IF(I42=0,IF(I54="","","*"&amp;TEXT(I54,"0.0x")),(I41+I42-I44)/I47)</f>
        <v>7.9367624358910511</v>
      </c>
      <c r="J55" s="7">
        <f t="shared" si="76"/>
        <v>8.4030497969870215</v>
      </c>
      <c r="K55" s="7">
        <f t="shared" ref="K55:L55" si="77">IF(K42=0,IF(K54="","","*"&amp;TEXT(K54,"0.0x")),(K41+K42-K44)/K47)</f>
        <v>8.6313231605351159</v>
      </c>
      <c r="L55" s="7">
        <f t="shared" si="77"/>
        <v>8.3185263070228377</v>
      </c>
      <c r="M55" s="7">
        <f t="shared" ref="M55:V55" si="78">IF(M42=0,IF(M54="","","*"&amp;TEXT(M54,"0.0x")),(M41+M42-M44)/M47)</f>
        <v>8.9143914647877889</v>
      </c>
      <c r="N55" s="7">
        <f t="shared" si="78"/>
        <v>9.1961986017845643</v>
      </c>
      <c r="O55" s="7">
        <f t="shared" si="78"/>
        <v>9.3654354487824278</v>
      </c>
      <c r="P55" s="7">
        <f t="shared" si="78"/>
        <v>9.2492743148249588</v>
      </c>
      <c r="Q55" s="7">
        <f t="shared" si="78"/>
        <v>10.166786109031216</v>
      </c>
      <c r="R55" s="7">
        <f t="shared" si="78"/>
        <v>10.225401380154697</v>
      </c>
      <c r="S55" s="7" t="str">
        <f t="shared" si="78"/>
        <v/>
      </c>
      <c r="T55" s="7" t="str">
        <f t="shared" si="78"/>
        <v/>
      </c>
      <c r="U55" s="7" t="str">
        <f t="shared" si="78"/>
        <v/>
      </c>
      <c r="V55" s="7" t="str">
        <f t="shared" si="78"/>
        <v/>
      </c>
      <c r="W55" s="7" t="str">
        <f>IF(W42=0,IF(W54="","",CONCATENATE("* ",W54,"x")),(W41+W42-W44)/W47)</f>
        <v/>
      </c>
      <c r="X55" s="7" t="str">
        <f>IF(X42=0,IF(X54="","",CONCATENATE("* ",X54,"x")),(X41+X42-X44)/X47)</f>
        <v/>
      </c>
      <c r="Y55" s="7" t="str">
        <f>IF(Y42=0,IF(Y54="","",CONCATENATE("* ",Y54,"x")),(Y41+Y42-Y44)/Y47)</f>
        <v/>
      </c>
    </row>
    <row r="56" spans="1:25" x14ac:dyDescent="0.2">
      <c r="V56" s="3"/>
    </row>
    <row r="57" spans="1:25" ht="80.25" customHeight="1" x14ac:dyDescent="0.2">
      <c r="A57" s="5" t="s">
        <v>0</v>
      </c>
      <c r="B57" s="4" t="s">
        <v>104</v>
      </c>
      <c r="C57" s="4" t="s">
        <v>104</v>
      </c>
      <c r="D57" s="4" t="s">
        <v>104</v>
      </c>
      <c r="E57" s="4" t="s">
        <v>104</v>
      </c>
      <c r="F57" s="4" t="s">
        <v>104</v>
      </c>
      <c r="G57" s="4" t="s">
        <v>104</v>
      </c>
      <c r="H57" s="4" t="s">
        <v>104</v>
      </c>
      <c r="I57" s="4" t="s">
        <v>104</v>
      </c>
      <c r="J57" s="4" t="s">
        <v>104</v>
      </c>
      <c r="K57" s="4" t="s">
        <v>104</v>
      </c>
      <c r="L57" s="4" t="s">
        <v>104</v>
      </c>
      <c r="M57" s="4" t="s">
        <v>104</v>
      </c>
      <c r="N57" s="4" t="s">
        <v>104</v>
      </c>
      <c r="O57" s="4" t="s">
        <v>104</v>
      </c>
      <c r="P57" s="4" t="s">
        <v>104</v>
      </c>
      <c r="Q57" s="4" t="s">
        <v>104</v>
      </c>
      <c r="R57" s="4" t="s">
        <v>104</v>
      </c>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K46:W51 J46:J48 I46:I48 C49:I51 C46:H48" formulaRange="1"/>
  </ignoredErrors>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4" width="10.7109375" style="1" customWidth="1"/>
    <col min="15" max="16384" width="9.140625" style="1"/>
  </cols>
  <sheetData>
    <row r="2" spans="1:14" x14ac:dyDescent="0.2">
      <c r="A2" s="34" t="s">
        <v>45</v>
      </c>
      <c r="B2" s="1" t="s">
        <v>203</v>
      </c>
    </row>
    <row r="3" spans="1:14" s="35" customFormat="1" x14ac:dyDescent="0.2">
      <c r="A3" s="36" t="s">
        <v>43</v>
      </c>
      <c r="B3" s="35" t="s">
        <v>202</v>
      </c>
    </row>
    <row r="4" spans="1:14" x14ac:dyDescent="0.2">
      <c r="A4" s="34" t="s">
        <v>41</v>
      </c>
      <c r="B4" s="1" t="s">
        <v>40</v>
      </c>
    </row>
    <row r="5" spans="1:14" x14ac:dyDescent="0.2">
      <c r="A5" s="34" t="s">
        <v>39</v>
      </c>
    </row>
    <row r="6" spans="1:14" x14ac:dyDescent="0.2">
      <c r="A6" s="34" t="s">
        <v>38</v>
      </c>
      <c r="B6" s="1">
        <v>2</v>
      </c>
    </row>
    <row r="7" spans="1:14" x14ac:dyDescent="0.2">
      <c r="A7" s="34" t="s">
        <v>37</v>
      </c>
      <c r="B7" s="1" t="e">
        <v>#N/A</v>
      </c>
    </row>
    <row r="8" spans="1:14" x14ac:dyDescent="0.2">
      <c r="A8" s="34" t="s">
        <v>281</v>
      </c>
      <c r="B8" s="1" t="e">
        <v>#N/A</v>
      </c>
    </row>
    <row r="9" spans="1:14" x14ac:dyDescent="0.2">
      <c r="A9" s="22"/>
    </row>
    <row r="10" spans="1:14" x14ac:dyDescent="0.2">
      <c r="A10" s="22" t="s">
        <v>36</v>
      </c>
      <c r="B10" s="33">
        <v>43373</v>
      </c>
      <c r="C10" s="33">
        <v>43281</v>
      </c>
      <c r="D10" s="33">
        <v>43190</v>
      </c>
      <c r="E10" s="33">
        <v>43100</v>
      </c>
      <c r="F10" s="33">
        <v>43008</v>
      </c>
      <c r="G10" s="33">
        <v>42916</v>
      </c>
      <c r="H10" s="33">
        <v>42825</v>
      </c>
      <c r="I10" s="33">
        <v>42735</v>
      </c>
      <c r="J10" s="33">
        <v>42643</v>
      </c>
      <c r="K10" s="33">
        <v>42551</v>
      </c>
      <c r="L10" s="33">
        <v>42460</v>
      </c>
      <c r="M10" s="33">
        <v>42369</v>
      </c>
      <c r="N10" s="33">
        <v>42277</v>
      </c>
    </row>
    <row r="12" spans="1:14" x14ac:dyDescent="0.2">
      <c r="A12" s="15" t="s">
        <v>35</v>
      </c>
      <c r="B12" s="19">
        <v>1148.316</v>
      </c>
      <c r="C12" s="19">
        <v>1131.4590000000001</v>
      </c>
      <c r="D12" s="19">
        <v>1116</v>
      </c>
      <c r="E12" s="19">
        <f>4315.502-H12-G12-F12</f>
        <v>1105.7600000000007</v>
      </c>
      <c r="F12" s="19">
        <v>1082.962</v>
      </c>
      <c r="G12" s="19">
        <v>1067.78</v>
      </c>
      <c r="H12" s="19">
        <v>1059</v>
      </c>
      <c r="I12" s="19">
        <v>994</v>
      </c>
      <c r="J12" s="19">
        <v>992</v>
      </c>
      <c r="K12" s="19">
        <v>990</v>
      </c>
      <c r="L12" s="19">
        <v>978</v>
      </c>
      <c r="M12" s="19">
        <v>976</v>
      </c>
      <c r="N12" s="19"/>
    </row>
    <row r="13" spans="1:14" s="28" customFormat="1" x14ac:dyDescent="0.2">
      <c r="A13" s="28" t="s">
        <v>34</v>
      </c>
      <c r="B13" s="28">
        <f t="shared" ref="B13:I13" si="0">+B12/F12-1</f>
        <v>6.0347454481320728E-2</v>
      </c>
      <c r="C13" s="28">
        <f t="shared" si="0"/>
        <v>5.9636816572702367E-2</v>
      </c>
      <c r="D13" s="28">
        <f t="shared" si="0"/>
        <v>5.3824362606232246E-2</v>
      </c>
      <c r="E13" s="28">
        <f t="shared" si="0"/>
        <v>0.11243460764587598</v>
      </c>
      <c r="F13" s="28">
        <f t="shared" si="0"/>
        <v>9.1695564516129036E-2</v>
      </c>
      <c r="G13" s="28">
        <f t="shared" si="0"/>
        <v>7.8565656565656505E-2</v>
      </c>
      <c r="H13" s="28">
        <f t="shared" si="0"/>
        <v>8.2822085889570518E-2</v>
      </c>
      <c r="I13" s="28">
        <f t="shared" si="0"/>
        <v>1.8442622950819665E-2</v>
      </c>
    </row>
    <row r="14" spans="1:14" s="23" customFormat="1" x14ac:dyDescent="0.2">
      <c r="A14" s="31" t="s">
        <v>33</v>
      </c>
      <c r="B14" s="32" t="s">
        <v>32</v>
      </c>
      <c r="C14" s="32" t="s">
        <v>32</v>
      </c>
      <c r="D14" s="32" t="s">
        <v>32</v>
      </c>
      <c r="E14" s="32" t="s">
        <v>32</v>
      </c>
      <c r="F14" s="32" t="s">
        <v>32</v>
      </c>
      <c r="G14" s="32" t="s">
        <v>32</v>
      </c>
      <c r="H14" s="32" t="s">
        <v>32</v>
      </c>
      <c r="I14" s="32" t="s">
        <v>32</v>
      </c>
      <c r="J14" s="32" t="s">
        <v>32</v>
      </c>
      <c r="K14" s="31"/>
      <c r="L14" s="31"/>
      <c r="M14" s="31"/>
      <c r="N14" s="31"/>
    </row>
    <row r="16" spans="1:14" s="22" customFormat="1" x14ac:dyDescent="0.2">
      <c r="A16" s="30" t="s">
        <v>31</v>
      </c>
      <c r="B16" s="29">
        <f t="shared" ref="B16:I16" si="1">B22-B21-B20-B19</f>
        <v>609.66399999999999</v>
      </c>
      <c r="C16" s="29">
        <f t="shared" si="1"/>
        <v>633.81299999999987</v>
      </c>
      <c r="D16" s="29">
        <f t="shared" si="1"/>
        <v>601.32299999999998</v>
      </c>
      <c r="E16" s="29">
        <f t="shared" si="1"/>
        <v>577</v>
      </c>
      <c r="F16" s="29">
        <f t="shared" si="1"/>
        <v>569.98599999999999</v>
      </c>
      <c r="G16" s="29">
        <f t="shared" si="1"/>
        <v>554.93999999999994</v>
      </c>
      <c r="H16" s="29">
        <f t="shared" si="1"/>
        <v>545.12300000000005</v>
      </c>
      <c r="I16" s="29">
        <f t="shared" si="1"/>
        <v>517</v>
      </c>
      <c r="J16" s="29">
        <v>644</v>
      </c>
      <c r="K16" s="29">
        <v>649</v>
      </c>
      <c r="L16" s="29">
        <v>643</v>
      </c>
      <c r="M16" s="29">
        <v>636</v>
      </c>
      <c r="N16" s="29"/>
    </row>
    <row r="17" spans="1:16" s="28" customFormat="1" x14ac:dyDescent="0.2">
      <c r="A17" s="28" t="s">
        <v>30</v>
      </c>
      <c r="B17" s="28">
        <f t="shared" ref="B17:M17" si="2">+B16/B12</f>
        <v>0.53092006033182504</v>
      </c>
      <c r="C17" s="28">
        <f t="shared" si="2"/>
        <v>0.56017319231187324</v>
      </c>
      <c r="D17" s="28">
        <f t="shared" si="2"/>
        <v>0.53881989247311823</v>
      </c>
      <c r="E17" s="28">
        <f t="shared" si="2"/>
        <v>0.52181305165677871</v>
      </c>
      <c r="F17" s="28">
        <f t="shared" si="2"/>
        <v>0.52632132983428781</v>
      </c>
      <c r="G17" s="28">
        <f t="shared" si="2"/>
        <v>0.51971379872258328</v>
      </c>
      <c r="H17" s="28">
        <f t="shared" si="2"/>
        <v>0.51475259678942398</v>
      </c>
      <c r="I17" s="28">
        <f t="shared" si="2"/>
        <v>0.52012072434607648</v>
      </c>
      <c r="J17" s="28">
        <f t="shared" si="2"/>
        <v>0.64919354838709675</v>
      </c>
      <c r="K17" s="28">
        <f t="shared" si="2"/>
        <v>0.65555555555555556</v>
      </c>
      <c r="L17" s="28">
        <f t="shared" si="2"/>
        <v>0.65746421267893662</v>
      </c>
      <c r="M17" s="28">
        <f t="shared" si="2"/>
        <v>0.65163934426229508</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v>0</v>
      </c>
      <c r="N19" s="19"/>
    </row>
    <row r="20" spans="1:16" s="23" customFormat="1" x14ac:dyDescent="0.2">
      <c r="A20" s="15" t="s">
        <v>28</v>
      </c>
      <c r="B20" s="19">
        <v>-6.7080000000000002</v>
      </c>
      <c r="C20" s="19">
        <v>0.45500000000000002</v>
      </c>
      <c r="D20" s="19">
        <v>8.0229999999999997</v>
      </c>
      <c r="E20" s="19">
        <v>11</v>
      </c>
      <c r="F20" s="19">
        <v>14.505000000000001</v>
      </c>
      <c r="G20" s="19">
        <v>18.86</v>
      </c>
      <c r="H20" s="19">
        <v>20.805</v>
      </c>
      <c r="I20" s="19">
        <v>23</v>
      </c>
      <c r="J20" s="19">
        <v>0</v>
      </c>
      <c r="K20" s="19">
        <v>0</v>
      </c>
      <c r="L20" s="19">
        <v>0</v>
      </c>
      <c r="M20" s="19">
        <v>0</v>
      </c>
      <c r="N20" s="19"/>
    </row>
    <row r="21" spans="1:16" s="23" customFormat="1" x14ac:dyDescent="0.2">
      <c r="A21" s="15" t="s">
        <v>18</v>
      </c>
      <c r="B21" s="19">
        <f>1.725+5.082</f>
        <v>6.8070000000000004</v>
      </c>
      <c r="C21" s="19">
        <f>1.675-25.556</f>
        <v>-23.881</v>
      </c>
      <c r="D21" s="19">
        <f>1.351+9.07</f>
        <v>10.420999999999999</v>
      </c>
      <c r="E21" s="19">
        <f>7+3</f>
        <v>10</v>
      </c>
      <c r="F21" s="19">
        <f>3.006+6.956</f>
        <v>9.9619999999999997</v>
      </c>
      <c r="G21" s="19">
        <f>2.673+6.436</f>
        <v>9.109</v>
      </c>
      <c r="H21" s="19">
        <f>3.918+7.175</f>
        <v>11.093</v>
      </c>
      <c r="I21" s="19">
        <f>5+8</f>
        <v>13</v>
      </c>
      <c r="J21" s="19">
        <v>0</v>
      </c>
      <c r="K21" s="19">
        <v>0</v>
      </c>
      <c r="L21" s="19">
        <v>0</v>
      </c>
      <c r="M21" s="19">
        <v>0</v>
      </c>
      <c r="N21" s="19"/>
    </row>
    <row r="22" spans="1:16" s="22" customFormat="1" ht="12" customHeight="1" x14ac:dyDescent="0.2">
      <c r="A22" s="22" t="s">
        <v>23</v>
      </c>
      <c r="B22" s="61">
        <v>609.76300000000003</v>
      </c>
      <c r="C22" s="61">
        <v>610.38699999999994</v>
      </c>
      <c r="D22" s="61">
        <v>619.76700000000005</v>
      </c>
      <c r="E22" s="61">
        <v>598</v>
      </c>
      <c r="F22" s="61">
        <v>594.45299999999997</v>
      </c>
      <c r="G22" s="61">
        <v>582.90899999999999</v>
      </c>
      <c r="H22" s="61">
        <v>577.02099999999996</v>
      </c>
      <c r="I22" s="61">
        <v>553</v>
      </c>
      <c r="J22" s="20">
        <f>SUM(J16,J19:J21)</f>
        <v>644</v>
      </c>
      <c r="K22" s="20">
        <f>SUM(K16,K19:K21)</f>
        <v>649</v>
      </c>
      <c r="L22" s="20">
        <f>SUM(L16,L19:L21)</f>
        <v>643</v>
      </c>
      <c r="M22" s="20">
        <f>SUM(M16,M19:M21)</f>
        <v>636</v>
      </c>
      <c r="N22" s="20"/>
    </row>
    <row r="23" spans="1:16" s="22" customFormat="1" x14ac:dyDescent="0.2">
      <c r="B23" s="20"/>
      <c r="C23" s="20"/>
      <c r="D23" s="20"/>
      <c r="E23" s="20"/>
      <c r="F23" s="20"/>
      <c r="G23" s="20"/>
      <c r="H23" s="20"/>
      <c r="I23" s="20"/>
      <c r="J23" s="20"/>
      <c r="K23" s="20"/>
      <c r="L23" s="20"/>
      <c r="M23" s="20"/>
      <c r="N23" s="20"/>
    </row>
    <row r="24" spans="1:16" s="22" customFormat="1" x14ac:dyDescent="0.2">
      <c r="A24" s="22" t="s">
        <v>27</v>
      </c>
      <c r="B24" s="63">
        <f>B22+C22+D22+E22</f>
        <v>2437.9170000000004</v>
      </c>
      <c r="C24" s="63">
        <f>C22+D22+E22+F22</f>
        <v>2422.607</v>
      </c>
      <c r="D24" s="61">
        <v>2395</v>
      </c>
      <c r="E24" s="61">
        <v>2353</v>
      </c>
      <c r="F24" s="20">
        <f>SUM(F22:I22)</f>
        <v>2307.3829999999998</v>
      </c>
      <c r="G24" s="20">
        <f>SUM(G22:J22)</f>
        <v>2356.9299999999998</v>
      </c>
      <c r="H24" s="20">
        <f>SUM(H22:K22)</f>
        <v>2423.0209999999997</v>
      </c>
      <c r="I24" s="20">
        <f>SUM(I22:L22)</f>
        <v>2489</v>
      </c>
      <c r="J24" s="20">
        <f>SUM(J22:M22)</f>
        <v>2572</v>
      </c>
      <c r="K24" s="20"/>
      <c r="L24" s="20"/>
      <c r="M24" s="20"/>
      <c r="N24" s="20"/>
    </row>
    <row r="25" spans="1:16" s="23" customFormat="1" x14ac:dyDescent="0.2">
      <c r="A25" s="15" t="s">
        <v>26</v>
      </c>
      <c r="B25" s="27">
        <v>0</v>
      </c>
      <c r="C25" s="27">
        <v>0</v>
      </c>
      <c r="D25" s="27">
        <v>0</v>
      </c>
      <c r="E25" s="27">
        <v>0</v>
      </c>
      <c r="F25" s="27">
        <v>0</v>
      </c>
      <c r="G25" s="27">
        <v>0</v>
      </c>
      <c r="H25" s="27">
        <v>0</v>
      </c>
      <c r="I25" s="27">
        <v>0</v>
      </c>
      <c r="J25" s="27">
        <v>0</v>
      </c>
      <c r="K25" s="27"/>
      <c r="L25" s="27"/>
      <c r="M25" s="27"/>
      <c r="N25" s="27"/>
    </row>
    <row r="26" spans="1:16" s="23" customFormat="1" x14ac:dyDescent="0.2">
      <c r="A26" s="15" t="s">
        <v>25</v>
      </c>
      <c r="B26" s="21">
        <v>0</v>
      </c>
      <c r="C26" s="21">
        <v>0</v>
      </c>
      <c r="D26" s="21">
        <v>0</v>
      </c>
      <c r="E26" s="21">
        <v>0</v>
      </c>
      <c r="F26" s="21">
        <v>0</v>
      </c>
      <c r="G26" s="21">
        <v>0</v>
      </c>
      <c r="H26" s="21">
        <v>0</v>
      </c>
      <c r="I26" s="21">
        <v>0</v>
      </c>
      <c r="J26" s="21">
        <v>0</v>
      </c>
      <c r="K26" s="21"/>
      <c r="L26" s="26"/>
      <c r="M26" s="26"/>
      <c r="N26" s="26"/>
    </row>
    <row r="27" spans="1:16" s="24" customFormat="1" x14ac:dyDescent="0.2">
      <c r="A27" s="22" t="s">
        <v>24</v>
      </c>
      <c r="B27" s="20">
        <f t="shared" ref="B27:J27" si="3">SUM(B24:B26)</f>
        <v>2437.9170000000004</v>
      </c>
      <c r="C27" s="20">
        <f t="shared" si="3"/>
        <v>2422.607</v>
      </c>
      <c r="D27" s="20">
        <f t="shared" si="3"/>
        <v>2395</v>
      </c>
      <c r="E27" s="20">
        <f t="shared" si="3"/>
        <v>2353</v>
      </c>
      <c r="F27" s="20">
        <f t="shared" si="3"/>
        <v>2307.3829999999998</v>
      </c>
      <c r="G27" s="20">
        <f t="shared" si="3"/>
        <v>2356.9299999999998</v>
      </c>
      <c r="H27" s="20">
        <f t="shared" si="3"/>
        <v>2423.0209999999997</v>
      </c>
      <c r="I27" s="20">
        <f t="shared" si="3"/>
        <v>2489</v>
      </c>
      <c r="J27" s="20">
        <f t="shared" si="3"/>
        <v>2572</v>
      </c>
      <c r="K27" s="20"/>
      <c r="L27" s="25"/>
      <c r="M27" s="25"/>
      <c r="N27" s="25"/>
    </row>
    <row r="28" spans="1:16" s="23" customFormat="1" x14ac:dyDescent="0.2"/>
    <row r="29" spans="1:16" s="22" customFormat="1" x14ac:dyDescent="0.2">
      <c r="A29" s="22" t="s">
        <v>23</v>
      </c>
      <c r="B29" s="20">
        <f t="shared" ref="B29:M29" si="4">B22</f>
        <v>609.76300000000003</v>
      </c>
      <c r="C29" s="20">
        <f t="shared" si="4"/>
        <v>610.38699999999994</v>
      </c>
      <c r="D29" s="20">
        <f t="shared" si="4"/>
        <v>619.76700000000005</v>
      </c>
      <c r="E29" s="20">
        <f t="shared" si="4"/>
        <v>598</v>
      </c>
      <c r="F29" s="20">
        <f t="shared" si="4"/>
        <v>594.45299999999997</v>
      </c>
      <c r="G29" s="20">
        <f t="shared" si="4"/>
        <v>582.90899999999999</v>
      </c>
      <c r="H29" s="20">
        <f t="shared" si="4"/>
        <v>577.02099999999996</v>
      </c>
      <c r="I29" s="20">
        <f t="shared" si="4"/>
        <v>553</v>
      </c>
      <c r="J29" s="20">
        <f t="shared" si="4"/>
        <v>644</v>
      </c>
      <c r="K29" s="20">
        <f t="shared" si="4"/>
        <v>649</v>
      </c>
      <c r="L29" s="20">
        <f t="shared" si="4"/>
        <v>643</v>
      </c>
      <c r="M29" s="20">
        <f t="shared" si="4"/>
        <v>636</v>
      </c>
      <c r="N29" s="20"/>
      <c r="P29" s="22" t="s">
        <v>201</v>
      </c>
    </row>
    <row r="30" spans="1:16" s="11" customFormat="1" x14ac:dyDescent="0.2">
      <c r="A30" s="19" t="s">
        <v>22</v>
      </c>
      <c r="B30" s="19">
        <f>-501.217-C30-D30</f>
        <v>-152.40499999999994</v>
      </c>
      <c r="C30" s="19">
        <f>-348.812-D30</f>
        <v>-174.47900000000001</v>
      </c>
      <c r="D30" s="19">
        <v>-174.333</v>
      </c>
      <c r="E30" s="19">
        <v>0</v>
      </c>
      <c r="F30" s="19">
        <f>-553.529-G30-H30</f>
        <v>-184.36899999999994</v>
      </c>
      <c r="G30" s="19">
        <f>-369.16-H30</f>
        <v>-188.09900000000002</v>
      </c>
      <c r="H30" s="19">
        <v>-181.06100000000001</v>
      </c>
      <c r="I30" s="19"/>
      <c r="J30" s="19"/>
      <c r="K30" s="19"/>
      <c r="L30" s="19"/>
      <c r="M30" s="19"/>
      <c r="N30" s="19"/>
      <c r="P30" s="19">
        <f>-661.25-S30-R30-Q30</f>
        <v>-661.25</v>
      </c>
    </row>
    <row r="31" spans="1:16" s="11" customFormat="1" x14ac:dyDescent="0.2">
      <c r="A31" s="19" t="s">
        <v>21</v>
      </c>
      <c r="B31" s="19">
        <f>19.84-18.883-C31-D31</f>
        <v>-1.4039999999999981</v>
      </c>
      <c r="C31" s="19">
        <f>12.139-9.778-D31</f>
        <v>0.53099999999999969</v>
      </c>
      <c r="D31" s="19">
        <f>7.568-5.738</f>
        <v>1.8299999999999992</v>
      </c>
      <c r="E31" s="19">
        <v>0</v>
      </c>
      <c r="F31" s="19">
        <f>38.922-46.133-G31-H31</f>
        <v>3.6999999999995481E-2</v>
      </c>
      <c r="G31" s="19">
        <f>31.794-39.042-H31</f>
        <v>-3.578000000000003</v>
      </c>
      <c r="H31" s="19">
        <f>31.565-35.235</f>
        <v>-3.6699999999999982</v>
      </c>
      <c r="I31" s="19"/>
      <c r="J31" s="19"/>
      <c r="K31" s="19"/>
      <c r="L31" s="19"/>
      <c r="M31" s="19"/>
      <c r="N31" s="19"/>
      <c r="P31" s="19">
        <f>-19.433-S31-R31-Q31</f>
        <v>-19.433</v>
      </c>
    </row>
    <row r="32" spans="1:16" s="11" customFormat="1" x14ac:dyDescent="0.2">
      <c r="A32" s="19" t="s">
        <v>20</v>
      </c>
      <c r="B32" s="19">
        <f>-135.777+193.357-36.079-C32-D32</f>
        <v>-24.930999999999983</v>
      </c>
      <c r="C32" s="19">
        <f>-88.81+127.973+7.269-D32</f>
        <v>-16.791000000000011</v>
      </c>
      <c r="D32" s="19">
        <f>-42.849+61.804+44.268</f>
        <v>63.223000000000006</v>
      </c>
      <c r="E32" s="19">
        <v>0</v>
      </c>
      <c r="F32" s="19">
        <f>-122.225+188.345+54.727-G32-H32</f>
        <v>89.600000000000009</v>
      </c>
      <c r="G32" s="19">
        <f>-81.814+123.387-10.326-H32</f>
        <v>-55.085000000000001</v>
      </c>
      <c r="H32" s="19">
        <f>-41.726+59.932+68.126</f>
        <v>86.332000000000008</v>
      </c>
      <c r="I32" s="19"/>
      <c r="J32" s="19"/>
      <c r="K32" s="19"/>
      <c r="L32" s="19"/>
      <c r="M32" s="19"/>
      <c r="N32" s="19"/>
      <c r="P32" s="19">
        <f>-60.113+4.944-30.695-165.12+247.479+45.76-S32-R32-Q32</f>
        <v>42.255000000000003</v>
      </c>
    </row>
    <row r="33" spans="1:19" s="11" customFormat="1" x14ac:dyDescent="0.2">
      <c r="A33" s="19" t="s">
        <v>19</v>
      </c>
      <c r="B33" s="19">
        <f>-B19-B20-B21</f>
        <v>-9.9000000000000199E-2</v>
      </c>
      <c r="C33" s="19">
        <f>-C19-C20-C21</f>
        <v>23.426000000000002</v>
      </c>
      <c r="D33" s="19">
        <f>-D19-D20-D21</f>
        <v>-18.443999999999999</v>
      </c>
      <c r="E33" s="19">
        <v>0</v>
      </c>
      <c r="F33" s="19">
        <f>-F19-F20-F21</f>
        <v>-24.466999999999999</v>
      </c>
      <c r="G33" s="19">
        <f>-G19-G20-G21</f>
        <v>-27.969000000000001</v>
      </c>
      <c r="H33" s="19">
        <f>-H19-H20-H21</f>
        <v>-31.898</v>
      </c>
      <c r="I33" s="19"/>
      <c r="J33" s="19"/>
      <c r="K33" s="19"/>
      <c r="L33" s="19"/>
      <c r="M33" s="19"/>
      <c r="N33" s="19"/>
    </row>
    <row r="34" spans="1:19" s="11" customFormat="1" x14ac:dyDescent="0.2">
      <c r="A34" s="19" t="s">
        <v>18</v>
      </c>
      <c r="B34" s="21">
        <f>B35-B29-B30-B31-B32-B33</f>
        <v>12.277999999999947</v>
      </c>
      <c r="C34" s="21">
        <f>C35-C29-C30-C31-C32-C33</f>
        <v>15.114000000000011</v>
      </c>
      <c r="D34" s="21">
        <f>D35-D29-D30-D31-D32-D33</f>
        <v>12.530999999999953</v>
      </c>
      <c r="E34" s="21"/>
      <c r="F34" s="21">
        <f>F35-F29-F30-F31-F32-F33</f>
        <v>43.67399999999985</v>
      </c>
      <c r="G34" s="21">
        <f>G35-G29-G30-G31-G32-G33</f>
        <v>23.228000000000094</v>
      </c>
      <c r="H34" s="21">
        <f>H35-H29-H30-H31-H32-H33</f>
        <v>-34.717999999999989</v>
      </c>
      <c r="I34" s="21"/>
      <c r="J34" s="21"/>
      <c r="K34" s="21"/>
      <c r="L34" s="21"/>
      <c r="M34" s="21"/>
      <c r="N34" s="21"/>
    </row>
    <row r="35" spans="1:19" s="20" customFormat="1" x14ac:dyDescent="0.2">
      <c r="A35" s="20" t="s">
        <v>17</v>
      </c>
      <c r="B35" s="20">
        <f>1405.964-C35-D35</f>
        <v>443.20200000000006</v>
      </c>
      <c r="C35" s="20">
        <f>962.762-D35</f>
        <v>458.18799999999993</v>
      </c>
      <c r="D35" s="20">
        <v>504.57400000000001</v>
      </c>
      <c r="E35" s="20">
        <f>1591.93-H35-G35-F35</f>
        <v>329.59000000000003</v>
      </c>
      <c r="F35" s="20">
        <f>1262.34-G35-H35</f>
        <v>518.92799999999988</v>
      </c>
      <c r="G35" s="20">
        <f>743.412-H35</f>
        <v>331.40600000000006</v>
      </c>
      <c r="H35" s="20">
        <v>412.00599999999997</v>
      </c>
      <c r="I35" s="20">
        <f>670.147-L35-K35-J35</f>
        <v>256.04200000000009</v>
      </c>
      <c r="J35" s="20">
        <f>414.105-L35-K35</f>
        <v>466.13100000000003</v>
      </c>
      <c r="K35" s="20">
        <f>-52.026-L35</f>
        <v>-65.719000000000008</v>
      </c>
      <c r="L35" s="20">
        <v>13.693</v>
      </c>
      <c r="M35" s="20">
        <f>34.556+1.754-(34.556-8.8)</f>
        <v>10.553999999999998</v>
      </c>
    </row>
    <row r="36" spans="1:19" s="11" customFormat="1" x14ac:dyDescent="0.2">
      <c r="A36" s="19" t="s">
        <v>16</v>
      </c>
      <c r="B36" s="21">
        <f>-94.151-C36-D36</f>
        <v>-28.938999999999993</v>
      </c>
      <c r="C36" s="21">
        <f>-65.212-D36</f>
        <v>-31.966000000000001</v>
      </c>
      <c r="D36" s="21">
        <v>-33.246000000000002</v>
      </c>
      <c r="E36" s="21">
        <f>-130.624-H36-G36-F36</f>
        <v>-27.952999999999989</v>
      </c>
      <c r="F36" s="21">
        <f>-102.671-G36-H36</f>
        <v>-33.236000000000011</v>
      </c>
      <c r="G36" s="21">
        <f>-69.435-H36</f>
        <v>-35.561</v>
      </c>
      <c r="H36" s="21">
        <v>-33.874000000000002</v>
      </c>
      <c r="I36" s="21">
        <f>-78.499-L36-K36-J36</f>
        <v>-23.591999999999992</v>
      </c>
      <c r="J36" s="21">
        <f>-51.088-K36</f>
        <v>-31.213000000000001</v>
      </c>
      <c r="K36" s="21">
        <f>-23.694-L36</f>
        <v>-19.875</v>
      </c>
      <c r="L36" s="21">
        <v>-3.819</v>
      </c>
      <c r="M36" s="21">
        <f>-6.095-4.49-(-6.095-0.854)</f>
        <v>-3.636000000000001</v>
      </c>
      <c r="N36" s="21"/>
    </row>
    <row r="37" spans="1:19" s="20" customFormat="1" x14ac:dyDescent="0.2">
      <c r="A37" s="20" t="s">
        <v>15</v>
      </c>
      <c r="B37" s="20">
        <f t="shared" ref="B37:M37" si="5">+B35+B36</f>
        <v>414.26300000000003</v>
      </c>
      <c r="C37" s="20">
        <f t="shared" si="5"/>
        <v>426.22199999999992</v>
      </c>
      <c r="D37" s="20">
        <f t="shared" si="5"/>
        <v>471.32800000000003</v>
      </c>
      <c r="E37" s="20">
        <f t="shared" si="5"/>
        <v>301.63700000000006</v>
      </c>
      <c r="F37" s="20">
        <f t="shared" si="5"/>
        <v>485.69199999999989</v>
      </c>
      <c r="G37" s="20">
        <f t="shared" si="5"/>
        <v>295.84500000000008</v>
      </c>
      <c r="H37" s="20">
        <f t="shared" si="5"/>
        <v>378.13199999999995</v>
      </c>
      <c r="I37" s="20">
        <f t="shared" si="5"/>
        <v>232.4500000000001</v>
      </c>
      <c r="J37" s="20">
        <f t="shared" si="5"/>
        <v>434.91800000000001</v>
      </c>
      <c r="K37" s="20">
        <f t="shared" si="5"/>
        <v>-85.594000000000008</v>
      </c>
      <c r="L37" s="20">
        <f t="shared" si="5"/>
        <v>9.8739999999999988</v>
      </c>
      <c r="M37" s="20">
        <f t="shared" si="5"/>
        <v>6.9179999999999975</v>
      </c>
    </row>
    <row r="38" spans="1:19" x14ac:dyDescent="0.2">
      <c r="C38" s="11"/>
      <c r="D38" s="11"/>
      <c r="E38" s="11"/>
      <c r="F38" s="11"/>
      <c r="G38" s="11"/>
      <c r="H38" s="11"/>
      <c r="I38" s="11"/>
    </row>
    <row r="39" spans="1:19" s="16" customFormat="1" x14ac:dyDescent="0.2">
      <c r="A39" s="18" t="s">
        <v>14</v>
      </c>
      <c r="B39" s="19">
        <v>0</v>
      </c>
      <c r="C39" s="19">
        <v>0</v>
      </c>
      <c r="D39" s="19">
        <v>0</v>
      </c>
      <c r="E39" s="19">
        <v>0</v>
      </c>
      <c r="F39" s="19">
        <v>0</v>
      </c>
      <c r="G39" s="19">
        <v>0</v>
      </c>
      <c r="H39" s="19">
        <v>0</v>
      </c>
      <c r="I39" s="19">
        <v>140</v>
      </c>
      <c r="J39" s="19">
        <v>0</v>
      </c>
      <c r="K39" s="19"/>
      <c r="L39" s="19"/>
      <c r="M39" s="19"/>
      <c r="N39" s="19"/>
      <c r="S39" s="56"/>
    </row>
    <row r="40" spans="1:19" s="16" customFormat="1" x14ac:dyDescent="0.2">
      <c r="A40" s="18" t="s">
        <v>13</v>
      </c>
      <c r="B40" s="19">
        <f>3934+3750+35</f>
        <v>7719</v>
      </c>
      <c r="C40" s="19">
        <f>D40-12</f>
        <v>7304</v>
      </c>
      <c r="D40" s="19">
        <f>3527+3750+39</f>
        <v>7316</v>
      </c>
      <c r="E40" s="19">
        <f>3536+3750+41</f>
        <v>7327</v>
      </c>
      <c r="F40" s="19">
        <f>44+3545+3750</f>
        <v>7339</v>
      </c>
      <c r="G40" s="19">
        <f>47+3750+3554</f>
        <v>7351</v>
      </c>
      <c r="H40" s="19">
        <f>3750+3554+49</f>
        <v>7353</v>
      </c>
      <c r="I40" s="19">
        <f>3750+3563+46</f>
        <v>7359</v>
      </c>
      <c r="J40" s="19">
        <f>27.695+13.029+906.351+1828.555+312.19+1046.682+943.934+653.37+550.299+16.501+34.775</f>
        <v>6333.3810000000003</v>
      </c>
      <c r="K40" s="19"/>
      <c r="L40" s="19"/>
      <c r="M40" s="19"/>
      <c r="N40" s="19"/>
    </row>
    <row r="41" spans="1:19" s="16" customFormat="1" x14ac:dyDescent="0.2">
      <c r="A41" s="18" t="s">
        <v>12</v>
      </c>
      <c r="B41" s="19">
        <f>B39+B40+2546</f>
        <v>10265</v>
      </c>
      <c r="C41" s="19">
        <f>C39+C40+2546+820</f>
        <v>10670</v>
      </c>
      <c r="D41" s="19">
        <f>D39+D40+2546+820</f>
        <v>10682</v>
      </c>
      <c r="E41" s="19">
        <f>E39+E40+2546</f>
        <v>9873</v>
      </c>
      <c r="F41" s="19">
        <f>F39+F40+3140</f>
        <v>10479</v>
      </c>
      <c r="G41" s="19">
        <f>G39+G40+3140</f>
        <v>10491</v>
      </c>
      <c r="H41" s="19">
        <f>H39+H40+3140</f>
        <v>10493</v>
      </c>
      <c r="I41" s="19">
        <f>I39+I40+3140</f>
        <v>10639</v>
      </c>
      <c r="J41" s="19">
        <f>J39+J40+135+3140</f>
        <v>9608.3810000000012</v>
      </c>
      <c r="K41" s="19"/>
      <c r="L41" s="19"/>
      <c r="M41" s="19"/>
      <c r="N41" s="19"/>
    </row>
    <row r="42" spans="1:19" s="16" customFormat="1" x14ac:dyDescent="0.2">
      <c r="A42" s="18" t="s">
        <v>11</v>
      </c>
      <c r="B42" s="17">
        <v>6212</v>
      </c>
      <c r="C42" s="17">
        <f>756562453/1000000*8.37</f>
        <v>6332.4277316099997</v>
      </c>
      <c r="D42" s="17">
        <f>750451249/1000000*7.63</f>
        <v>5725.9430298699999</v>
      </c>
      <c r="E42" s="17">
        <f>749131653/1000000*14</f>
        <v>10487.843142</v>
      </c>
      <c r="F42" s="17">
        <v>0</v>
      </c>
      <c r="G42" s="17">
        <v>0</v>
      </c>
      <c r="H42" s="17">
        <v>0</v>
      </c>
      <c r="I42" s="17">
        <v>0</v>
      </c>
      <c r="J42" s="17">
        <v>0</v>
      </c>
      <c r="K42" s="17"/>
      <c r="L42" s="17"/>
      <c r="M42" s="17"/>
      <c r="N42" s="17"/>
    </row>
    <row r="43" spans="1:19" x14ac:dyDescent="0.2">
      <c r="B43" s="16"/>
      <c r="C43" s="16"/>
      <c r="D43" s="16"/>
      <c r="E43" s="16"/>
      <c r="F43" s="16"/>
      <c r="G43" s="16"/>
      <c r="H43" s="16"/>
      <c r="I43" s="16"/>
    </row>
    <row r="44" spans="1:19" x14ac:dyDescent="0.2">
      <c r="A44" s="15" t="s">
        <v>10</v>
      </c>
      <c r="B44" s="27">
        <v>355</v>
      </c>
      <c r="C44" s="27">
        <v>344.28800000000001</v>
      </c>
      <c r="D44" s="27">
        <v>1008</v>
      </c>
      <c r="E44" s="27">
        <v>122.899</v>
      </c>
      <c r="F44" s="27">
        <v>170.67</v>
      </c>
      <c r="G44" s="27">
        <v>63.99</v>
      </c>
      <c r="H44" s="27">
        <v>276</v>
      </c>
      <c r="I44" s="27">
        <v>75.891000000000005</v>
      </c>
      <c r="J44" s="27">
        <v>0</v>
      </c>
      <c r="K44" s="14"/>
      <c r="L44" s="14"/>
      <c r="M44" s="14"/>
      <c r="N44" s="14"/>
    </row>
    <row r="46" spans="1:19" x14ac:dyDescent="0.2">
      <c r="A46" s="1" t="s">
        <v>9</v>
      </c>
      <c r="B46" s="11">
        <f t="shared" ref="B46:J46" si="6">SUM(B12:E12)</f>
        <v>4501.5350000000008</v>
      </c>
      <c r="C46" s="11">
        <f t="shared" si="6"/>
        <v>4436.1810000000005</v>
      </c>
      <c r="D46" s="11">
        <f t="shared" si="6"/>
        <v>4372.5020000000004</v>
      </c>
      <c r="E46" s="11">
        <f t="shared" si="6"/>
        <v>4315.5020000000004</v>
      </c>
      <c r="F46" s="11">
        <f t="shared" si="6"/>
        <v>4203.7420000000002</v>
      </c>
      <c r="G46" s="11">
        <f t="shared" si="6"/>
        <v>4112.78</v>
      </c>
      <c r="H46" s="11">
        <f t="shared" si="6"/>
        <v>4035</v>
      </c>
      <c r="I46" s="11">
        <f t="shared" si="6"/>
        <v>3954</v>
      </c>
      <c r="J46" s="11">
        <f t="shared" si="6"/>
        <v>3936</v>
      </c>
      <c r="K46" s="11"/>
    </row>
    <row r="47" spans="1:19" x14ac:dyDescent="0.2">
      <c r="A47" s="1" t="s">
        <v>8</v>
      </c>
      <c r="B47" s="11">
        <f t="shared" ref="B47:J47" si="7">+B27</f>
        <v>2437.9170000000004</v>
      </c>
      <c r="C47" s="11">
        <f t="shared" si="7"/>
        <v>2422.607</v>
      </c>
      <c r="D47" s="11">
        <f t="shared" si="7"/>
        <v>2395</v>
      </c>
      <c r="E47" s="11">
        <f t="shared" si="7"/>
        <v>2353</v>
      </c>
      <c r="F47" s="11">
        <f t="shared" si="7"/>
        <v>2307.3829999999998</v>
      </c>
      <c r="G47" s="11">
        <f t="shared" si="7"/>
        <v>2356.9299999999998</v>
      </c>
      <c r="H47" s="11">
        <f t="shared" si="7"/>
        <v>2423.0209999999997</v>
      </c>
      <c r="I47" s="11">
        <f t="shared" si="7"/>
        <v>2489</v>
      </c>
      <c r="J47" s="11">
        <f t="shared" si="7"/>
        <v>2572</v>
      </c>
      <c r="K47" s="11"/>
    </row>
    <row r="48" spans="1:19" x14ac:dyDescent="0.2">
      <c r="A48" s="1" t="s">
        <v>7</v>
      </c>
      <c r="B48" s="11">
        <f t="shared" ref="B48:J48" si="8">+SUM(B37:E37)</f>
        <v>1613.4499999999998</v>
      </c>
      <c r="C48" s="11">
        <f t="shared" si="8"/>
        <v>1684.8789999999999</v>
      </c>
      <c r="D48" s="11">
        <f t="shared" si="8"/>
        <v>1554.5020000000002</v>
      </c>
      <c r="E48" s="11">
        <f t="shared" si="8"/>
        <v>1461.306</v>
      </c>
      <c r="F48" s="11">
        <f t="shared" si="8"/>
        <v>1392.1189999999999</v>
      </c>
      <c r="G48" s="11">
        <f t="shared" si="8"/>
        <v>1341.3450000000003</v>
      </c>
      <c r="H48" s="11">
        <f t="shared" si="8"/>
        <v>959.90599999999995</v>
      </c>
      <c r="I48" s="11">
        <f t="shared" si="8"/>
        <v>591.64800000000014</v>
      </c>
      <c r="J48" s="11">
        <f t="shared" si="8"/>
        <v>366.11600000000004</v>
      </c>
      <c r="K48" s="11"/>
    </row>
    <row r="50" spans="1:14" s="10" customFormat="1" x14ac:dyDescent="0.2">
      <c r="A50" s="10" t="s">
        <v>6</v>
      </c>
      <c r="B50" s="10">
        <f t="shared" ref="B50:C50" si="9">+SUM(B39:B40)/B47</f>
        <v>3.1662275623001106</v>
      </c>
      <c r="C50" s="10">
        <f t="shared" si="9"/>
        <v>3.0149339121037793</v>
      </c>
      <c r="D50" s="10">
        <f t="shared" ref="D50:J50" si="10">+SUM(D39:D40)/D47</f>
        <v>3.0546972860125261</v>
      </c>
      <c r="E50" s="10">
        <f t="shared" si="10"/>
        <v>3.1138971525711856</v>
      </c>
      <c r="F50" s="10">
        <f t="shared" si="10"/>
        <v>3.1806596477481199</v>
      </c>
      <c r="G50" s="10">
        <f t="shared" si="10"/>
        <v>3.1188877056170528</v>
      </c>
      <c r="H50" s="10">
        <f t="shared" si="10"/>
        <v>3.0346414661697114</v>
      </c>
      <c r="I50" s="10">
        <f t="shared" si="10"/>
        <v>3.0128565689031741</v>
      </c>
      <c r="J50" s="10">
        <f t="shared" si="10"/>
        <v>2.4624342923794713</v>
      </c>
    </row>
    <row r="51" spans="1:14" s="10" customFormat="1" x14ac:dyDescent="0.2">
      <c r="A51" s="10" t="s">
        <v>5</v>
      </c>
      <c r="B51" s="10">
        <f t="shared" ref="B51:J51" si="11">+B41/B47</f>
        <v>4.2105617213383386</v>
      </c>
      <c r="C51" s="10">
        <f t="shared" si="11"/>
        <v>4.404346227019075</v>
      </c>
      <c r="D51" s="10">
        <f t="shared" si="11"/>
        <v>4.4601252609603339</v>
      </c>
      <c r="E51" s="10">
        <f t="shared" si="11"/>
        <v>4.1959201019974497</v>
      </c>
      <c r="F51" s="10">
        <f t="shared" si="11"/>
        <v>4.5415087135512398</v>
      </c>
      <c r="G51" s="10">
        <f t="shared" si="11"/>
        <v>4.4511292231843971</v>
      </c>
      <c r="H51" s="10">
        <f t="shared" si="11"/>
        <v>4.330544390659429</v>
      </c>
      <c r="I51" s="10">
        <f t="shared" si="11"/>
        <v>4.2744073925271193</v>
      </c>
      <c r="J51" s="10">
        <f t="shared" si="11"/>
        <v>3.7357624416796273</v>
      </c>
    </row>
    <row r="52" spans="1:14" s="10" customFormat="1" x14ac:dyDescent="0.2">
      <c r="A52" s="10" t="s">
        <v>4</v>
      </c>
      <c r="B52" s="10">
        <f t="shared" ref="B52:J52" si="12">+(B41-B44)/B47</f>
        <v>4.0649456072540611</v>
      </c>
      <c r="C52" s="10">
        <f t="shared" si="12"/>
        <v>4.2622315546846847</v>
      </c>
      <c r="D52" s="10">
        <f t="shared" si="12"/>
        <v>4.0392484342379955</v>
      </c>
      <c r="E52" s="10">
        <f t="shared" si="12"/>
        <v>4.1436893327666811</v>
      </c>
      <c r="F52" s="10">
        <f t="shared" si="12"/>
        <v>4.4675417995191955</v>
      </c>
      <c r="G52" s="10">
        <f t="shared" si="12"/>
        <v>4.4239794987547363</v>
      </c>
      <c r="H52" s="10">
        <f t="shared" si="12"/>
        <v>4.2166369998444093</v>
      </c>
      <c r="I52" s="10">
        <f t="shared" si="12"/>
        <v>4.2439168340699078</v>
      </c>
      <c r="J52" s="10">
        <f t="shared" si="12"/>
        <v>3.7357624416796273</v>
      </c>
    </row>
    <row r="53" spans="1:14" s="6" customFormat="1" x14ac:dyDescent="0.2">
      <c r="A53" s="6" t="s">
        <v>3</v>
      </c>
      <c r="B53" s="6">
        <f t="shared" ref="B53:J53" si="13">+B48/B41</f>
        <v>0.15717973697028736</v>
      </c>
      <c r="C53" s="6">
        <f t="shared" si="13"/>
        <v>0.15790805998125584</v>
      </c>
      <c r="D53" s="6">
        <f t="shared" si="13"/>
        <v>0.14552536978093991</v>
      </c>
      <c r="E53" s="6">
        <f t="shared" si="13"/>
        <v>0.14801033120632026</v>
      </c>
      <c r="F53" s="6">
        <f t="shared" si="13"/>
        <v>0.1328484588224067</v>
      </c>
      <c r="G53" s="6">
        <f t="shared" si="13"/>
        <v>0.12785673434372322</v>
      </c>
      <c r="H53" s="6">
        <f t="shared" si="13"/>
        <v>9.1480606118364616E-2</v>
      </c>
      <c r="I53" s="6">
        <f t="shared" si="13"/>
        <v>5.5611241658050585E-2</v>
      </c>
      <c r="J53" s="6">
        <f t="shared" si="13"/>
        <v>3.8103817906471445E-2</v>
      </c>
    </row>
    <row r="54" spans="1:14" s="6" customFormat="1" x14ac:dyDescent="0.2">
      <c r="A54" s="8" t="s">
        <v>2</v>
      </c>
      <c r="B54" s="9"/>
      <c r="C54" s="9"/>
      <c r="D54" s="9"/>
      <c r="E54" s="9"/>
      <c r="F54" s="9">
        <v>10</v>
      </c>
      <c r="G54" s="9">
        <v>10</v>
      </c>
      <c r="H54" s="9">
        <v>10</v>
      </c>
      <c r="I54" s="9">
        <v>10</v>
      </c>
      <c r="J54" s="9">
        <v>10</v>
      </c>
      <c r="K54" s="9"/>
      <c r="L54" s="8"/>
      <c r="M54" s="8"/>
      <c r="N54" s="8"/>
    </row>
    <row r="55" spans="1:14" s="6" customFormat="1" x14ac:dyDescent="0.2">
      <c r="A55" s="6" t="s">
        <v>1</v>
      </c>
      <c r="B55" s="7">
        <f t="shared" ref="B55:K55" si="14">IF(B42=0,IF(B54="","","*"&amp;TEXT(B54,"0.0x")),(B41+B42-B44)/B47)</f>
        <v>6.6130225106104916</v>
      </c>
      <c r="C55" s="7">
        <f t="shared" si="14"/>
        <v>6.8761213567078761</v>
      </c>
      <c r="D55" s="7">
        <f t="shared" si="14"/>
        <v>6.4300388433695197</v>
      </c>
      <c r="E55" s="7">
        <f t="shared" si="14"/>
        <v>8.6009112375690595</v>
      </c>
      <c r="F55" s="7" t="str">
        <f t="shared" si="14"/>
        <v>*10.0x</v>
      </c>
      <c r="G55" s="7" t="str">
        <f t="shared" si="14"/>
        <v>*10.0x</v>
      </c>
      <c r="H55" s="7" t="str">
        <f t="shared" si="14"/>
        <v>*10.0x</v>
      </c>
      <c r="I55" s="7" t="str">
        <f t="shared" si="14"/>
        <v>*10.0x</v>
      </c>
      <c r="J55" s="7" t="str">
        <f t="shared" si="14"/>
        <v>*10.0x</v>
      </c>
      <c r="K55" s="7" t="str">
        <f t="shared" si="14"/>
        <v/>
      </c>
      <c r="L55" s="7" t="str">
        <f>IF(L42=0,IF(L54="","",CONCATENATE("* ",L54,"x")),(L41+L42-L44)/L47)</f>
        <v/>
      </c>
      <c r="M55" s="7" t="str">
        <f>IF(M42=0,IF(M54="","",CONCATENATE("* ",M54,"x")),(M41+M42-M44)/M47)</f>
        <v/>
      </c>
      <c r="N55" s="7" t="str">
        <f>IF(N42=0,IF(N54="","",CONCATENATE("* ",N54,"x")),(N41+N42-N44)/N47)</f>
        <v/>
      </c>
    </row>
    <row r="56" spans="1:14" x14ac:dyDescent="0.2">
      <c r="K56" s="3"/>
    </row>
    <row r="57" spans="1:14" ht="80.25" customHeight="1" x14ac:dyDescent="0.2">
      <c r="A57" s="5" t="s">
        <v>0</v>
      </c>
      <c r="B57" s="4"/>
      <c r="C57" s="4"/>
      <c r="D57" s="4"/>
      <c r="E57" s="4"/>
      <c r="F57" s="4"/>
      <c r="G57" s="4"/>
      <c r="H57" s="4" t="s">
        <v>190</v>
      </c>
      <c r="I57" s="4" t="s">
        <v>190</v>
      </c>
      <c r="J57" s="4"/>
      <c r="K57" s="4"/>
      <c r="L57" s="4"/>
      <c r="M57" s="4"/>
      <c r="N57" s="4"/>
    </row>
    <row r="58" spans="1:14" x14ac:dyDescent="0.2">
      <c r="A58" s="2"/>
      <c r="B58" s="3"/>
      <c r="C58" s="3"/>
      <c r="D58" s="3"/>
      <c r="E58" s="3"/>
      <c r="F58" s="3"/>
      <c r="G58" s="3"/>
    </row>
    <row r="59" spans="1:14" x14ac:dyDescent="0.2">
      <c r="A59" s="2"/>
    </row>
  </sheetData>
  <pageMargins left="0.7" right="0.7" top="0.75" bottom="0.75" header="0.3" footer="0.3"/>
  <pageSetup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4" width="10.7109375" style="1" customWidth="1"/>
    <col min="25" max="16384" width="9.140625" style="1"/>
  </cols>
  <sheetData>
    <row r="2" spans="1:24" x14ac:dyDescent="0.2">
      <c r="A2" s="34" t="s">
        <v>45</v>
      </c>
      <c r="B2" s="1" t="s">
        <v>90</v>
      </c>
    </row>
    <row r="3" spans="1:24" s="35" customFormat="1" x14ac:dyDescent="0.2">
      <c r="A3" s="36" t="s">
        <v>43</v>
      </c>
      <c r="B3" s="35" t="s">
        <v>123</v>
      </c>
    </row>
    <row r="4" spans="1:24" x14ac:dyDescent="0.2">
      <c r="A4" s="34" t="s">
        <v>41</v>
      </c>
      <c r="B4" s="1" t="s">
        <v>40</v>
      </c>
    </row>
    <row r="5" spans="1:24" x14ac:dyDescent="0.2">
      <c r="A5" s="34" t="s">
        <v>39</v>
      </c>
    </row>
    <row r="6" spans="1:24" x14ac:dyDescent="0.2">
      <c r="A6" s="34" t="s">
        <v>38</v>
      </c>
      <c r="B6" s="1">
        <v>3</v>
      </c>
    </row>
    <row r="7" spans="1:24" x14ac:dyDescent="0.2">
      <c r="A7" s="34" t="s">
        <v>37</v>
      </c>
      <c r="B7" s="1" t="s">
        <v>122</v>
      </c>
    </row>
    <row r="8" spans="1:24" x14ac:dyDescent="0.2">
      <c r="A8" s="34" t="s">
        <v>281</v>
      </c>
      <c r="B8" s="1" t="s">
        <v>299</v>
      </c>
    </row>
    <row r="9" spans="1:24" x14ac:dyDescent="0.2">
      <c r="A9" s="22"/>
    </row>
    <row r="10" spans="1:24"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f t="shared" ref="R10:X10" si="0">EOMONTH(Q10,-3)</f>
        <v>42916</v>
      </c>
      <c r="S10" s="33">
        <f t="shared" si="0"/>
        <v>42825</v>
      </c>
      <c r="T10" s="33">
        <f t="shared" si="0"/>
        <v>42735</v>
      </c>
      <c r="U10" s="33">
        <f t="shared" si="0"/>
        <v>42643</v>
      </c>
      <c r="V10" s="33">
        <f t="shared" si="0"/>
        <v>42551</v>
      </c>
      <c r="W10" s="33">
        <f t="shared" si="0"/>
        <v>42460</v>
      </c>
      <c r="X10" s="33">
        <f t="shared" si="0"/>
        <v>42369</v>
      </c>
    </row>
    <row r="12" spans="1:24" x14ac:dyDescent="0.2">
      <c r="A12" s="15" t="s">
        <v>35</v>
      </c>
      <c r="B12" s="19">
        <v>45.451000000000001</v>
      </c>
      <c r="C12" s="19">
        <v>26.817</v>
      </c>
      <c r="D12" s="19">
        <v>17.120000000000008</v>
      </c>
      <c r="E12" s="19">
        <v>20.748000000000001</v>
      </c>
      <c r="F12" s="19">
        <v>17.332999999999998</v>
      </c>
      <c r="G12" s="19">
        <v>84.111999999999995</v>
      </c>
      <c r="H12" s="19"/>
      <c r="I12" s="19">
        <v>106.00500000000001</v>
      </c>
      <c r="J12" s="19">
        <v>129.672</v>
      </c>
      <c r="K12" s="19">
        <v>127.92400000000001</v>
      </c>
      <c r="L12" s="19">
        <v>57.98599999999999</v>
      </c>
      <c r="M12" s="19">
        <v>77.69</v>
      </c>
      <c r="N12" s="19">
        <v>82.078999999999994</v>
      </c>
      <c r="O12" s="19">
        <v>68.457999999999998</v>
      </c>
      <c r="P12" s="19">
        <v>87.114999999999981</v>
      </c>
      <c r="Q12" s="19">
        <v>60.834000000000003</v>
      </c>
      <c r="R12" s="19">
        <v>73.454999999999998</v>
      </c>
      <c r="S12" s="19">
        <v>64.621000000000009</v>
      </c>
      <c r="T12" s="19">
        <v>79.298000000000002</v>
      </c>
      <c r="U12" s="19">
        <v>56.585999999999999</v>
      </c>
      <c r="V12" s="19">
        <v>73.361999999999995</v>
      </c>
      <c r="W12" s="19">
        <v>56.540999999999997</v>
      </c>
      <c r="X12" s="19"/>
    </row>
    <row r="13" spans="1:24" s="28" customFormat="1" x14ac:dyDescent="0.2">
      <c r="A13" s="28" t="s">
        <v>34</v>
      </c>
      <c r="B13" s="28">
        <f t="shared" ref="B13:S13" si="1">+B12/F12-1</f>
        <v>1.6222235042981596</v>
      </c>
      <c r="C13" s="28">
        <f t="shared" si="1"/>
        <v>-0.68117509986684421</v>
      </c>
      <c r="E13" s="28">
        <f t="shared" si="1"/>
        <v>-0.80427338333097498</v>
      </c>
      <c r="F13" s="28">
        <f t="shared" si="1"/>
        <v>-0.8663319760626812</v>
      </c>
      <c r="G13" s="28">
        <f t="shared" si="1"/>
        <v>-0.34248460023138749</v>
      </c>
      <c r="I13" s="28">
        <f t="shared" si="1"/>
        <v>0.36446132063328629</v>
      </c>
      <c r="J13" s="28">
        <f t="shared" si="1"/>
        <v>0.57984380901326782</v>
      </c>
      <c r="L13" s="28">
        <f t="shared" si="1"/>
        <v>-0.33437410319692362</v>
      </c>
      <c r="M13" s="28">
        <f t="shared" si="1"/>
        <v>0.27708189499293145</v>
      </c>
      <c r="N13" s="28">
        <f t="shared" si="1"/>
        <v>0.1174052140766455</v>
      </c>
      <c r="O13" s="28">
        <f t="shared" si="1"/>
        <v>5.9376982714597348E-2</v>
      </c>
      <c r="P13" s="28">
        <f t="shared" si="1"/>
        <v>9.8577517717975072E-2</v>
      </c>
      <c r="Q13" s="28">
        <f t="shared" si="1"/>
        <v>7.5071572473756953E-2</v>
      </c>
      <c r="R13" s="28">
        <f t="shared" si="1"/>
        <v>1.2676862680951473E-3</v>
      </c>
      <c r="S13" s="28">
        <f t="shared" si="1"/>
        <v>0.14290514847632707</v>
      </c>
    </row>
    <row r="14" spans="1:24" s="23" customFormat="1" x14ac:dyDescent="0.2">
      <c r="A14" s="31" t="s">
        <v>33</v>
      </c>
      <c r="B14" s="32" t="s">
        <v>32</v>
      </c>
      <c r="C14" s="32" t="s">
        <v>32</v>
      </c>
      <c r="D14" s="32"/>
      <c r="E14" s="32" t="s">
        <v>32</v>
      </c>
      <c r="F14" s="32" t="s">
        <v>32</v>
      </c>
      <c r="G14" s="32" t="s">
        <v>32</v>
      </c>
      <c r="H14" s="32"/>
      <c r="I14" s="32" t="s">
        <v>32</v>
      </c>
      <c r="J14" s="32" t="s">
        <v>32</v>
      </c>
      <c r="K14" s="32"/>
      <c r="L14" s="32" t="s">
        <v>32</v>
      </c>
      <c r="M14" s="32" t="s">
        <v>32</v>
      </c>
      <c r="N14" s="32" t="s">
        <v>32</v>
      </c>
      <c r="O14" s="32" t="s">
        <v>32</v>
      </c>
      <c r="P14" s="32" t="s">
        <v>32</v>
      </c>
      <c r="Q14" s="32" t="s">
        <v>32</v>
      </c>
      <c r="R14" s="32" t="s">
        <v>32</v>
      </c>
      <c r="S14" s="32" t="s">
        <v>32</v>
      </c>
      <c r="T14" s="32"/>
      <c r="U14" s="31"/>
      <c r="V14" s="31"/>
      <c r="W14" s="31"/>
      <c r="X14" s="31"/>
    </row>
    <row r="16" spans="1:24" s="22" customFormat="1" x14ac:dyDescent="0.2">
      <c r="A16" s="30" t="s">
        <v>31</v>
      </c>
      <c r="B16" s="29">
        <v>-2</v>
      </c>
      <c r="C16" s="29">
        <v>-6</v>
      </c>
      <c r="D16" s="29">
        <v>63.629999999999939</v>
      </c>
      <c r="E16" s="29">
        <v>-5.4</v>
      </c>
      <c r="F16" s="29">
        <v>0.96299999999999997</v>
      </c>
      <c r="G16" s="29">
        <v>10.507</v>
      </c>
      <c r="H16" s="29"/>
      <c r="I16" s="29">
        <v>21</v>
      </c>
      <c r="J16" s="29">
        <v>40.615000000000002</v>
      </c>
      <c r="K16" s="29">
        <v>30.398</v>
      </c>
      <c r="L16" s="29">
        <v>13.146000000000003</v>
      </c>
      <c r="M16" s="29">
        <v>20.669</v>
      </c>
      <c r="N16" s="29">
        <v>18.754000000000001</v>
      </c>
      <c r="O16" s="29">
        <v>13.246</v>
      </c>
      <c r="P16" s="29">
        <v>16.37199999999995</v>
      </c>
      <c r="Q16" s="29">
        <v>10.436000000000005</v>
      </c>
      <c r="R16" s="29">
        <v>19.000999999999998</v>
      </c>
      <c r="S16" s="29">
        <v>13.764000000000006</v>
      </c>
      <c r="T16" s="29">
        <v>21.957000000000004</v>
      </c>
      <c r="U16" s="29">
        <v>10.213000000000001</v>
      </c>
      <c r="V16" s="29">
        <v>19.681999999999995</v>
      </c>
      <c r="W16" s="29">
        <v>12.899999999999995</v>
      </c>
      <c r="X16" s="29"/>
    </row>
    <row r="17" spans="1:24" s="28" customFormat="1" x14ac:dyDescent="0.2">
      <c r="A17" s="28" t="s">
        <v>30</v>
      </c>
      <c r="B17" s="28">
        <f t="shared" ref="B17:C17" si="2">+B16/B12</f>
        <v>-4.4003432267716878E-2</v>
      </c>
      <c r="C17" s="28">
        <f t="shared" si="2"/>
        <v>-0.22373867322966776</v>
      </c>
      <c r="D17" s="28">
        <f t="shared" ref="D17:E17" si="3">+D16/D12</f>
        <v>3.71670560747663</v>
      </c>
      <c r="E17" s="28">
        <f t="shared" si="3"/>
        <v>-0.26026604973973394</v>
      </c>
      <c r="F17" s="28">
        <f t="shared" ref="F17:G17" si="4">+F16/F12</f>
        <v>5.5558760745398957E-2</v>
      </c>
      <c r="G17" s="28">
        <f t="shared" si="4"/>
        <v>0.12491677762982691</v>
      </c>
      <c r="I17" s="28">
        <f t="shared" ref="I17:J17" si="5">+I16/I12</f>
        <v>0.19810386302532898</v>
      </c>
      <c r="J17" s="28">
        <f t="shared" si="5"/>
        <v>0.313213338268863</v>
      </c>
      <c r="K17" s="28">
        <f t="shared" ref="K17:L17" si="6">+K16/K12</f>
        <v>0.23762546511991495</v>
      </c>
      <c r="L17" s="28">
        <f t="shared" si="6"/>
        <v>0.2267098954920154</v>
      </c>
      <c r="M17" s="28">
        <f t="shared" ref="M17:W17" si="7">+M16/M12</f>
        <v>0.26604453597631617</v>
      </c>
      <c r="N17" s="28">
        <f t="shared" si="7"/>
        <v>0.22848718917140806</v>
      </c>
      <c r="O17" s="28">
        <f t="shared" si="7"/>
        <v>0.19349089952963863</v>
      </c>
      <c r="P17" s="28">
        <f t="shared" si="7"/>
        <v>0.18793548757389605</v>
      </c>
      <c r="Q17" s="28">
        <f t="shared" si="7"/>
        <v>0.17154880494460342</v>
      </c>
      <c r="R17" s="28">
        <f t="shared" si="7"/>
        <v>0.25867537948403779</v>
      </c>
      <c r="S17" s="28">
        <f t="shared" si="7"/>
        <v>0.21299577536714079</v>
      </c>
      <c r="T17" s="28">
        <f t="shared" si="7"/>
        <v>0.27689222931221474</v>
      </c>
      <c r="U17" s="28">
        <f t="shared" si="7"/>
        <v>0.18048633937723113</v>
      </c>
      <c r="V17" s="28">
        <f t="shared" si="7"/>
        <v>0.26828603364139469</v>
      </c>
      <c r="W17" s="28">
        <f t="shared" si="7"/>
        <v>0.22815302170106641</v>
      </c>
    </row>
    <row r="18" spans="1:24" s="23" customFormat="1" x14ac:dyDescent="0.2"/>
    <row r="19" spans="1:24" s="23" customFormat="1" x14ac:dyDescent="0.2">
      <c r="A19" s="15" t="s">
        <v>29</v>
      </c>
      <c r="B19" s="19">
        <v>0</v>
      </c>
      <c r="C19" s="19">
        <v>0</v>
      </c>
      <c r="D19" s="19">
        <v>0</v>
      </c>
      <c r="E19" s="19">
        <v>0</v>
      </c>
      <c r="F19" s="19">
        <v>0</v>
      </c>
      <c r="G19" s="19">
        <v>0</v>
      </c>
      <c r="H19" s="19"/>
      <c r="I19" s="19">
        <v>0</v>
      </c>
      <c r="J19" s="19">
        <v>0</v>
      </c>
      <c r="K19" s="19">
        <v>0</v>
      </c>
      <c r="L19" s="19">
        <v>0</v>
      </c>
      <c r="M19" s="19">
        <v>0</v>
      </c>
      <c r="N19" s="19">
        <v>0</v>
      </c>
      <c r="O19" s="19">
        <v>0</v>
      </c>
      <c r="P19" s="19">
        <v>0</v>
      </c>
      <c r="Q19" s="19">
        <v>0</v>
      </c>
      <c r="R19" s="19">
        <v>0</v>
      </c>
      <c r="S19" s="19">
        <v>0</v>
      </c>
      <c r="T19" s="19">
        <v>0</v>
      </c>
      <c r="U19" s="19">
        <v>0</v>
      </c>
      <c r="V19" s="19">
        <v>0</v>
      </c>
      <c r="W19" s="19">
        <v>0</v>
      </c>
      <c r="X19" s="19"/>
    </row>
    <row r="20" spans="1:24" s="23" customFormat="1" x14ac:dyDescent="0.2">
      <c r="A20" s="15" t="s">
        <v>28</v>
      </c>
      <c r="B20" s="19">
        <v>0</v>
      </c>
      <c r="C20" s="19">
        <v>0</v>
      </c>
      <c r="D20" s="19">
        <v>0</v>
      </c>
      <c r="E20" s="19">
        <v>0</v>
      </c>
      <c r="F20" s="19">
        <v>0</v>
      </c>
      <c r="G20" s="19">
        <v>0</v>
      </c>
      <c r="H20" s="19"/>
      <c r="I20" s="19">
        <v>0</v>
      </c>
      <c r="J20" s="19">
        <v>0</v>
      </c>
      <c r="K20" s="19">
        <v>0</v>
      </c>
      <c r="L20" s="19">
        <v>0</v>
      </c>
      <c r="M20" s="19">
        <v>0</v>
      </c>
      <c r="N20" s="19">
        <v>0</v>
      </c>
      <c r="O20" s="19">
        <v>0</v>
      </c>
      <c r="P20" s="19">
        <v>0</v>
      </c>
      <c r="Q20" s="19">
        <v>0</v>
      </c>
      <c r="R20" s="19">
        <v>0</v>
      </c>
      <c r="S20" s="19">
        <v>0</v>
      </c>
      <c r="T20" s="19">
        <v>0</v>
      </c>
      <c r="U20" s="19">
        <v>0</v>
      </c>
      <c r="V20" s="19">
        <v>0</v>
      </c>
      <c r="W20" s="19">
        <v>0</v>
      </c>
      <c r="X20" s="19"/>
    </row>
    <row r="21" spans="1:24" s="23" customFormat="1" x14ac:dyDescent="0.2">
      <c r="A21" s="15" t="s">
        <v>18</v>
      </c>
      <c r="B21" s="19">
        <v>0</v>
      </c>
      <c r="C21" s="19">
        <v>0</v>
      </c>
      <c r="D21" s="19">
        <v>0</v>
      </c>
      <c r="E21" s="19">
        <v>0</v>
      </c>
      <c r="F21" s="19">
        <v>0</v>
      </c>
      <c r="G21" s="19">
        <v>0</v>
      </c>
      <c r="H21" s="19"/>
      <c r="I21" s="19">
        <v>0</v>
      </c>
      <c r="J21" s="19">
        <v>0</v>
      </c>
      <c r="K21" s="19">
        <v>0</v>
      </c>
      <c r="L21" s="19">
        <v>0</v>
      </c>
      <c r="M21" s="19">
        <v>0</v>
      </c>
      <c r="N21" s="19">
        <v>0</v>
      </c>
      <c r="O21" s="19">
        <v>0</v>
      </c>
      <c r="P21" s="19">
        <v>0</v>
      </c>
      <c r="Q21" s="19">
        <v>0</v>
      </c>
      <c r="R21" s="19">
        <v>0</v>
      </c>
      <c r="S21" s="19">
        <v>0</v>
      </c>
      <c r="T21" s="19">
        <v>0</v>
      </c>
      <c r="U21" s="19">
        <v>0</v>
      </c>
      <c r="V21" s="19">
        <v>0</v>
      </c>
      <c r="W21" s="19">
        <v>0</v>
      </c>
      <c r="X21" s="19"/>
    </row>
    <row r="22" spans="1:24" s="22" customFormat="1" x14ac:dyDescent="0.2">
      <c r="A22" s="22" t="s">
        <v>23</v>
      </c>
      <c r="B22" s="20">
        <f t="shared" ref="B22:C22" si="8">SUM(B16,B19:B21)</f>
        <v>-2</v>
      </c>
      <c r="C22" s="20">
        <f t="shared" si="8"/>
        <v>-6</v>
      </c>
      <c r="D22" s="20">
        <f t="shared" ref="D22:E22" si="9">SUM(D16,D19:D21)</f>
        <v>63.629999999999939</v>
      </c>
      <c r="E22" s="20">
        <f t="shared" si="9"/>
        <v>-5.4</v>
      </c>
      <c r="F22" s="20">
        <f t="shared" ref="F22:G22" si="10">SUM(F16,F19:F21)</f>
        <v>0.96299999999999997</v>
      </c>
      <c r="G22" s="20">
        <f t="shared" si="10"/>
        <v>10.507</v>
      </c>
      <c r="H22" s="20"/>
      <c r="I22" s="20">
        <f t="shared" ref="I22:J22" si="11">SUM(I16,I19:I21)</f>
        <v>21</v>
      </c>
      <c r="J22" s="20">
        <f t="shared" si="11"/>
        <v>40.615000000000002</v>
      </c>
      <c r="K22" s="20">
        <f t="shared" ref="K22:L22" si="12">SUM(K16,K19:K21)</f>
        <v>30.398</v>
      </c>
      <c r="L22" s="20">
        <f t="shared" si="12"/>
        <v>13.146000000000003</v>
      </c>
      <c r="M22" s="20">
        <f t="shared" ref="M22:W22" si="13">SUM(M16,M19:M21)</f>
        <v>20.669</v>
      </c>
      <c r="N22" s="20">
        <f t="shared" si="13"/>
        <v>18.754000000000001</v>
      </c>
      <c r="O22" s="20">
        <f t="shared" si="13"/>
        <v>13.246</v>
      </c>
      <c r="P22" s="20">
        <f t="shared" si="13"/>
        <v>16.37199999999995</v>
      </c>
      <c r="Q22" s="20">
        <f t="shared" si="13"/>
        <v>10.436000000000005</v>
      </c>
      <c r="R22" s="20">
        <f t="shared" si="13"/>
        <v>19.000999999999998</v>
      </c>
      <c r="S22" s="20">
        <f t="shared" si="13"/>
        <v>13.764000000000006</v>
      </c>
      <c r="T22" s="20">
        <f t="shared" si="13"/>
        <v>21.957000000000004</v>
      </c>
      <c r="U22" s="20">
        <f t="shared" si="13"/>
        <v>10.213000000000001</v>
      </c>
      <c r="V22" s="20">
        <f t="shared" si="13"/>
        <v>19.681999999999995</v>
      </c>
      <c r="W22" s="20">
        <f t="shared" si="13"/>
        <v>12.899999999999995</v>
      </c>
      <c r="X22" s="20"/>
    </row>
    <row r="23" spans="1:24" s="22" customFormat="1" x14ac:dyDescent="0.2">
      <c r="B23" s="28"/>
      <c r="C23" s="28"/>
      <c r="D23" s="28"/>
      <c r="E23" s="28"/>
      <c r="F23" s="28"/>
      <c r="G23" s="28"/>
      <c r="H23" s="28"/>
      <c r="I23" s="28"/>
      <c r="J23" s="28"/>
      <c r="K23" s="20"/>
      <c r="L23" s="20"/>
      <c r="M23" s="20"/>
      <c r="N23" s="20"/>
      <c r="O23" s="20"/>
      <c r="P23" s="20"/>
      <c r="Q23" s="20"/>
      <c r="R23" s="20"/>
      <c r="S23" s="20"/>
      <c r="T23" s="20"/>
      <c r="U23" s="20"/>
      <c r="V23" s="20"/>
      <c r="W23" s="20"/>
      <c r="X23" s="20"/>
    </row>
    <row r="24" spans="1:24" s="22" customFormat="1" x14ac:dyDescent="0.2">
      <c r="A24" s="22" t="s">
        <v>27</v>
      </c>
      <c r="B24" s="63">
        <f>SUM(B22:E22)</f>
        <v>50.22999999999994</v>
      </c>
      <c r="C24" s="63">
        <f>SUM(C22:F22)</f>
        <v>53.192999999999941</v>
      </c>
      <c r="D24" s="63">
        <f>SUM(D22:G22)</f>
        <v>69.699999999999946</v>
      </c>
      <c r="E24" s="61">
        <v>6.0699999999999985</v>
      </c>
      <c r="F24" s="61">
        <v>93.91</v>
      </c>
      <c r="G24" s="61">
        <v>123.947</v>
      </c>
      <c r="H24" s="20"/>
      <c r="I24" s="20"/>
      <c r="J24" s="20"/>
      <c r="K24" s="20"/>
      <c r="L24" s="20">
        <f t="shared" ref="L24:T24" si="14">SUM(L22:O22)</f>
        <v>65.814999999999998</v>
      </c>
      <c r="M24" s="20">
        <f t="shared" si="14"/>
        <v>69.040999999999954</v>
      </c>
      <c r="N24" s="20">
        <f t="shared" si="14"/>
        <v>58.807999999999957</v>
      </c>
      <c r="O24" s="20">
        <f t="shared" si="14"/>
        <v>59.054999999999957</v>
      </c>
      <c r="P24" s="20">
        <f t="shared" si="14"/>
        <v>59.572999999999965</v>
      </c>
      <c r="Q24" s="20">
        <f t="shared" si="14"/>
        <v>65.158000000000015</v>
      </c>
      <c r="R24" s="20">
        <f t="shared" si="14"/>
        <v>64.935000000000002</v>
      </c>
      <c r="S24" s="20">
        <f t="shared" si="14"/>
        <v>65.616000000000014</v>
      </c>
      <c r="T24" s="20">
        <f t="shared" si="14"/>
        <v>64.751999999999995</v>
      </c>
      <c r="U24" s="20"/>
      <c r="V24" s="20"/>
      <c r="W24" s="20"/>
      <c r="X24" s="20"/>
    </row>
    <row r="25" spans="1:24" s="23" customFormat="1" x14ac:dyDescent="0.2">
      <c r="A25" s="15" t="s">
        <v>26</v>
      </c>
      <c r="B25" s="27">
        <f>72-B24</f>
        <v>21.77000000000006</v>
      </c>
      <c r="C25" s="27">
        <f>64.871-C24</f>
        <v>11.678000000000054</v>
      </c>
      <c r="D25" s="27">
        <v>0</v>
      </c>
      <c r="E25" s="27">
        <v>0</v>
      </c>
      <c r="F25" s="27">
        <v>0</v>
      </c>
      <c r="G25" s="27">
        <v>0</v>
      </c>
      <c r="H25" s="27"/>
      <c r="I25" s="27"/>
      <c r="J25" s="27"/>
      <c r="K25" s="27"/>
      <c r="L25" s="27">
        <v>0</v>
      </c>
      <c r="M25" s="27">
        <v>0</v>
      </c>
      <c r="N25" s="27">
        <v>0</v>
      </c>
      <c r="O25" s="27">
        <v>0</v>
      </c>
      <c r="P25" s="27">
        <v>0</v>
      </c>
      <c r="Q25" s="27">
        <v>0</v>
      </c>
      <c r="R25" s="27">
        <v>0</v>
      </c>
      <c r="S25" s="27">
        <v>0</v>
      </c>
      <c r="T25" s="27">
        <v>0</v>
      </c>
      <c r="U25" s="27"/>
      <c r="V25" s="27"/>
      <c r="W25" s="27"/>
      <c r="X25" s="27"/>
    </row>
    <row r="26" spans="1:24" s="23" customFormat="1" x14ac:dyDescent="0.2">
      <c r="A26" s="15" t="s">
        <v>25</v>
      </c>
      <c r="B26" s="21">
        <v>0</v>
      </c>
      <c r="C26" s="21">
        <v>0</v>
      </c>
      <c r="D26" s="21">
        <v>0</v>
      </c>
      <c r="E26" s="21">
        <v>0</v>
      </c>
      <c r="F26" s="21">
        <v>0</v>
      </c>
      <c r="G26" s="21">
        <v>0</v>
      </c>
      <c r="H26" s="21"/>
      <c r="I26" s="21"/>
      <c r="J26" s="21"/>
      <c r="K26" s="21"/>
      <c r="L26" s="21">
        <v>0</v>
      </c>
      <c r="M26" s="21">
        <v>0</v>
      </c>
      <c r="N26" s="21">
        <v>0</v>
      </c>
      <c r="O26" s="21">
        <v>0</v>
      </c>
      <c r="P26" s="21">
        <v>0</v>
      </c>
      <c r="Q26" s="21">
        <v>0</v>
      </c>
      <c r="R26" s="21">
        <v>0</v>
      </c>
      <c r="S26" s="21">
        <v>0</v>
      </c>
      <c r="T26" s="21">
        <v>0</v>
      </c>
      <c r="U26" s="21"/>
      <c r="V26" s="26"/>
      <c r="W26" s="26"/>
      <c r="X26" s="26"/>
    </row>
    <row r="27" spans="1:24" s="24" customFormat="1" x14ac:dyDescent="0.2">
      <c r="A27" s="22" t="s">
        <v>24</v>
      </c>
      <c r="B27" s="20">
        <f t="shared" ref="B27:G27" si="15">B24+B25+B26</f>
        <v>72</v>
      </c>
      <c r="C27" s="20">
        <f t="shared" si="15"/>
        <v>64.870999999999995</v>
      </c>
      <c r="D27" s="20">
        <f t="shared" si="15"/>
        <v>69.699999999999946</v>
      </c>
      <c r="E27" s="20">
        <f t="shared" si="15"/>
        <v>6.0699999999999985</v>
      </c>
      <c r="F27" s="20">
        <f t="shared" si="15"/>
        <v>93.91</v>
      </c>
      <c r="G27" s="20">
        <f t="shared" si="15"/>
        <v>123.947</v>
      </c>
      <c r="H27" s="20"/>
      <c r="I27" s="20"/>
      <c r="J27" s="20"/>
      <c r="K27" s="20"/>
      <c r="L27" s="20">
        <f t="shared" ref="L27" si="16">SUM(L24:L26)</f>
        <v>65.814999999999998</v>
      </c>
      <c r="M27" s="20">
        <f t="shared" ref="M27:T27" si="17">SUM(M24:M26)</f>
        <v>69.040999999999954</v>
      </c>
      <c r="N27" s="20">
        <f t="shared" si="17"/>
        <v>58.807999999999957</v>
      </c>
      <c r="O27" s="20">
        <f t="shared" si="17"/>
        <v>59.054999999999957</v>
      </c>
      <c r="P27" s="20">
        <f t="shared" si="17"/>
        <v>59.572999999999965</v>
      </c>
      <c r="Q27" s="20">
        <f t="shared" si="17"/>
        <v>65.158000000000015</v>
      </c>
      <c r="R27" s="20">
        <f t="shared" si="17"/>
        <v>64.935000000000002</v>
      </c>
      <c r="S27" s="20">
        <f t="shared" si="17"/>
        <v>65.616000000000014</v>
      </c>
      <c r="T27" s="20">
        <f t="shared" si="17"/>
        <v>64.751999999999995</v>
      </c>
      <c r="U27" s="20"/>
      <c r="V27" s="25"/>
      <c r="W27" s="25"/>
      <c r="X27" s="25"/>
    </row>
    <row r="28" spans="1:24" s="23" customFormat="1" x14ac:dyDescent="0.2"/>
    <row r="29" spans="1:24" s="22" customFormat="1" x14ac:dyDescent="0.2">
      <c r="A29" s="22" t="s">
        <v>23</v>
      </c>
      <c r="B29" s="20">
        <f t="shared" ref="B29:D29" si="18">B22</f>
        <v>-2</v>
      </c>
      <c r="C29" s="20">
        <f t="shared" si="18"/>
        <v>-6</v>
      </c>
      <c r="D29" s="20">
        <f t="shared" si="18"/>
        <v>63.629999999999939</v>
      </c>
      <c r="E29" s="20">
        <f t="shared" ref="E29:F29" si="19">E22</f>
        <v>-5.4</v>
      </c>
      <c r="F29" s="20">
        <f t="shared" si="19"/>
        <v>0.96299999999999997</v>
      </c>
      <c r="G29" s="20">
        <f t="shared" ref="G29:J29" si="20">G22</f>
        <v>10.507</v>
      </c>
      <c r="H29" s="20"/>
      <c r="I29" s="20">
        <f t="shared" si="20"/>
        <v>21</v>
      </c>
      <c r="J29" s="20">
        <f t="shared" si="20"/>
        <v>40.615000000000002</v>
      </c>
      <c r="K29" s="20">
        <f t="shared" ref="K29:L29" si="21">K22</f>
        <v>30.398</v>
      </c>
      <c r="L29" s="20">
        <f t="shared" si="21"/>
        <v>13.146000000000003</v>
      </c>
      <c r="M29" s="20">
        <f t="shared" ref="M29:W29" si="22">M22</f>
        <v>20.669</v>
      </c>
      <c r="N29" s="20">
        <f t="shared" si="22"/>
        <v>18.754000000000001</v>
      </c>
      <c r="O29" s="20">
        <f t="shared" si="22"/>
        <v>13.246</v>
      </c>
      <c r="P29" s="20">
        <f t="shared" si="22"/>
        <v>16.37199999999995</v>
      </c>
      <c r="Q29" s="20">
        <f t="shared" si="22"/>
        <v>10.436000000000005</v>
      </c>
      <c r="R29" s="20">
        <f t="shared" si="22"/>
        <v>19.000999999999998</v>
      </c>
      <c r="S29" s="20">
        <f t="shared" si="22"/>
        <v>13.764000000000006</v>
      </c>
      <c r="T29" s="20">
        <f t="shared" si="22"/>
        <v>21.957000000000004</v>
      </c>
      <c r="U29" s="20">
        <f t="shared" si="22"/>
        <v>10.213000000000001</v>
      </c>
      <c r="V29" s="20">
        <f t="shared" si="22"/>
        <v>19.681999999999995</v>
      </c>
      <c r="W29" s="20">
        <f t="shared" si="22"/>
        <v>12.899999999999995</v>
      </c>
      <c r="X29" s="20"/>
    </row>
    <row r="30" spans="1:24" s="11" customFormat="1" x14ac:dyDescent="0.2">
      <c r="A30" s="19" t="s">
        <v>22</v>
      </c>
      <c r="B30" s="19">
        <v>-5.7279999999999998</v>
      </c>
      <c r="C30" s="19">
        <v>-6.2990000000000004</v>
      </c>
      <c r="D30" s="19">
        <v>1.5790000000000006</v>
      </c>
      <c r="E30" s="19">
        <v>-5.9359999999999999</v>
      </c>
      <c r="F30" s="19">
        <v>-7.0289999999999999</v>
      </c>
      <c r="G30" s="19">
        <v>-13.677</v>
      </c>
      <c r="H30" s="19"/>
      <c r="I30" s="19">
        <v>-11.134</v>
      </c>
      <c r="J30" s="19">
        <v>-13.324999999999999</v>
      </c>
      <c r="K30" s="19">
        <v>-11.843999999999999</v>
      </c>
      <c r="L30" s="19">
        <v>-13.376000000000005</v>
      </c>
      <c r="M30" s="19">
        <v>-9.7780000000000005</v>
      </c>
      <c r="N30" s="19">
        <v>-10.834</v>
      </c>
      <c r="O30" s="19">
        <v>-9.5960000000000001</v>
      </c>
      <c r="P30" s="19">
        <v>-7.0119999999999969</v>
      </c>
      <c r="Q30" s="19">
        <v>-6.96</v>
      </c>
      <c r="R30" s="19">
        <v>-7.6130000000000004</v>
      </c>
      <c r="S30" s="19">
        <v>-6.7949999999999999</v>
      </c>
      <c r="T30" s="19">
        <v>-6.5599999999999978</v>
      </c>
      <c r="U30" s="19">
        <v>-7.0439999999999996</v>
      </c>
      <c r="V30" s="19">
        <v>-7.0990000000000002</v>
      </c>
      <c r="W30" s="19">
        <v>-7.2930000000000001</v>
      </c>
      <c r="X30" s="19"/>
    </row>
    <row r="31" spans="1:24" s="11" customFormat="1" x14ac:dyDescent="0.2">
      <c r="A31" s="19" t="s">
        <v>21</v>
      </c>
      <c r="B31" s="19">
        <v>8.5719999999999992</v>
      </c>
      <c r="C31" s="19">
        <v>1.083</v>
      </c>
      <c r="D31" s="19">
        <v>-2.055000000000001</v>
      </c>
      <c r="E31" s="19">
        <v>2.1000000000000001E-2</v>
      </c>
      <c r="F31" s="19">
        <v>-10.045</v>
      </c>
      <c r="G31" s="19">
        <v>10.537000000000001</v>
      </c>
      <c r="H31" s="19"/>
      <c r="I31" s="19">
        <v>1.1759999999999999</v>
      </c>
      <c r="J31" s="19">
        <v>-2.649</v>
      </c>
      <c r="K31" s="19">
        <v>1.4710000000000001</v>
      </c>
      <c r="L31" s="19">
        <v>0.31699999999999928</v>
      </c>
      <c r="M31" s="19">
        <v>-0.82200000000000006</v>
      </c>
      <c r="N31" s="19">
        <v>-0.52200000000000002</v>
      </c>
      <c r="O31" s="19">
        <v>-2.8119999999999998</v>
      </c>
      <c r="P31" s="19">
        <v>-0.30899999999999972</v>
      </c>
      <c r="Q31" s="19">
        <v>-0.51600000000000001</v>
      </c>
      <c r="R31" s="19">
        <v>-1.3139999999999996</v>
      </c>
      <c r="S31" s="19">
        <v>-0.56400000000000006</v>
      </c>
      <c r="T31" s="19">
        <v>-1.467000000000001</v>
      </c>
      <c r="U31" s="19">
        <v>9.2000000000000082E-2</v>
      </c>
      <c r="V31" s="19">
        <v>-0.72799999999999976</v>
      </c>
      <c r="W31" s="19">
        <v>-0.11699999999999999</v>
      </c>
      <c r="X31" s="19"/>
    </row>
    <row r="32" spans="1:24" s="11" customFormat="1" x14ac:dyDescent="0.2">
      <c r="A32" s="19" t="s">
        <v>20</v>
      </c>
      <c r="B32" s="19">
        <v>38.814</v>
      </c>
      <c r="C32" s="19">
        <v>5.0710000000000006</v>
      </c>
      <c r="D32" s="19">
        <v>59.248000000000005</v>
      </c>
      <c r="E32" s="19">
        <v>-10.578999999999997</v>
      </c>
      <c r="F32" s="19">
        <v>-50.112000000000002</v>
      </c>
      <c r="G32" s="19">
        <v>10.866999999999999</v>
      </c>
      <c r="H32" s="19"/>
      <c r="I32" s="19">
        <v>10.307</v>
      </c>
      <c r="J32" s="19">
        <v>-21.688999999999997</v>
      </c>
      <c r="K32" s="19">
        <v>-10.108999999999998</v>
      </c>
      <c r="L32" s="19">
        <v>0.36899999999999977</v>
      </c>
      <c r="M32" s="19">
        <v>16.012999999999998</v>
      </c>
      <c r="N32" s="19">
        <v>0.91800000000000015</v>
      </c>
      <c r="O32" s="19">
        <v>2.875</v>
      </c>
      <c r="P32" s="19">
        <v>0.59199999999999608</v>
      </c>
      <c r="Q32" s="19">
        <v>11.674000000000001</v>
      </c>
      <c r="R32" s="19">
        <v>-18.978999999999999</v>
      </c>
      <c r="S32" s="19">
        <v>1.3470000000000013</v>
      </c>
      <c r="T32" s="19">
        <v>8.0980000000000008</v>
      </c>
      <c r="U32" s="19">
        <v>18.599</v>
      </c>
      <c r="V32" s="19">
        <v>-2.3219999999999992</v>
      </c>
      <c r="W32" s="19">
        <v>0.3620000000000001</v>
      </c>
      <c r="X32" s="19"/>
    </row>
    <row r="33" spans="1:24" s="11" customFormat="1" x14ac:dyDescent="0.2">
      <c r="A33" s="19" t="s">
        <v>19</v>
      </c>
      <c r="B33" s="19">
        <v>0</v>
      </c>
      <c r="C33" s="19">
        <v>0</v>
      </c>
      <c r="D33" s="19">
        <v>0</v>
      </c>
      <c r="E33" s="19">
        <v>0</v>
      </c>
      <c r="F33" s="19">
        <v>0</v>
      </c>
      <c r="G33" s="19">
        <v>0</v>
      </c>
      <c r="H33" s="19"/>
      <c r="I33" s="19">
        <v>0</v>
      </c>
      <c r="J33" s="19">
        <v>0</v>
      </c>
      <c r="K33" s="19">
        <v>0</v>
      </c>
      <c r="L33" s="19">
        <v>0</v>
      </c>
      <c r="M33" s="19">
        <v>0</v>
      </c>
      <c r="N33" s="19">
        <v>0</v>
      </c>
      <c r="O33" s="19">
        <v>0</v>
      </c>
      <c r="P33" s="19">
        <v>0</v>
      </c>
      <c r="Q33" s="19">
        <v>0</v>
      </c>
      <c r="R33" s="19">
        <v>0</v>
      </c>
      <c r="S33" s="19">
        <v>0</v>
      </c>
      <c r="T33" s="19">
        <v>0</v>
      </c>
      <c r="U33" s="19">
        <v>0</v>
      </c>
      <c r="V33" s="19">
        <v>0</v>
      </c>
      <c r="W33" s="19">
        <v>0</v>
      </c>
      <c r="X33" s="19"/>
    </row>
    <row r="34" spans="1:24" s="11" customFormat="1" x14ac:dyDescent="0.2">
      <c r="A34" s="19" t="s">
        <v>18</v>
      </c>
      <c r="B34" s="21">
        <v>0</v>
      </c>
      <c r="C34" s="21">
        <v>0</v>
      </c>
      <c r="D34" s="21">
        <v>0</v>
      </c>
      <c r="E34" s="21">
        <v>0</v>
      </c>
      <c r="F34" s="21">
        <v>0</v>
      </c>
      <c r="G34" s="21">
        <v>0</v>
      </c>
      <c r="H34" s="21"/>
      <c r="I34" s="21">
        <v>0</v>
      </c>
      <c r="J34" s="21">
        <v>0</v>
      </c>
      <c r="K34" s="21">
        <v>0</v>
      </c>
      <c r="L34" s="21">
        <v>0</v>
      </c>
      <c r="M34" s="21">
        <v>0</v>
      </c>
      <c r="N34" s="21">
        <v>0</v>
      </c>
      <c r="O34" s="21">
        <v>0</v>
      </c>
      <c r="P34" s="21">
        <v>0</v>
      </c>
      <c r="Q34" s="21">
        <v>0</v>
      </c>
      <c r="R34" s="21">
        <v>0</v>
      </c>
      <c r="S34" s="21">
        <v>0</v>
      </c>
      <c r="T34" s="21">
        <v>0</v>
      </c>
      <c r="U34" s="21">
        <v>0</v>
      </c>
      <c r="V34" s="21">
        <v>0</v>
      </c>
      <c r="W34" s="21">
        <v>0</v>
      </c>
      <c r="X34" s="21"/>
    </row>
    <row r="35" spans="1:24" s="20" customFormat="1" x14ac:dyDescent="0.2">
      <c r="A35" s="20" t="s">
        <v>17</v>
      </c>
      <c r="B35" s="20">
        <v>25.254999999999999</v>
      </c>
      <c r="C35" s="20">
        <v>-10.09</v>
      </c>
      <c r="D35" s="20">
        <v>-4.1930000000000049</v>
      </c>
      <c r="E35" s="20">
        <v>-30.786999999999999</v>
      </c>
      <c r="F35" s="20">
        <v>-30.282</v>
      </c>
      <c r="G35" s="20">
        <v>1.8640000000000001</v>
      </c>
      <c r="I35" s="20">
        <v>3.95</v>
      </c>
      <c r="J35" s="20">
        <v>-0.90900000000000003</v>
      </c>
      <c r="K35" s="20">
        <v>6.1159999999999997</v>
      </c>
      <c r="L35" s="20">
        <v>7.4099999999999966</v>
      </c>
      <c r="M35" s="20">
        <v>22.672000000000001</v>
      </c>
      <c r="N35" s="20">
        <v>5.1420000000000003</v>
      </c>
      <c r="O35" s="20">
        <v>-0.64100000000000001</v>
      </c>
      <c r="P35" s="20">
        <v>11.954000000000001</v>
      </c>
      <c r="Q35" s="20">
        <v>13.722</v>
      </c>
      <c r="R35" s="20">
        <v>-8.8460000000000001</v>
      </c>
      <c r="S35" s="20">
        <v>7.33</v>
      </c>
      <c r="T35" s="20">
        <v>20.871000000000002</v>
      </c>
      <c r="U35" s="20">
        <v>21.468</v>
      </c>
      <c r="V35" s="20">
        <v>8.8569999999999993</v>
      </c>
      <c r="W35" s="20">
        <v>5.35</v>
      </c>
    </row>
    <row r="36" spans="1:24" s="11" customFormat="1" x14ac:dyDescent="0.2">
      <c r="A36" s="19" t="s">
        <v>16</v>
      </c>
      <c r="B36" s="21">
        <v>-1.335</v>
      </c>
      <c r="C36" s="21">
        <v>-0.35799999999999998</v>
      </c>
      <c r="D36" s="21">
        <v>-0.27600000000000002</v>
      </c>
      <c r="E36" s="21">
        <v>-0.45200000000000001</v>
      </c>
      <c r="F36" s="21">
        <v>-7.0000000000000007E-2</v>
      </c>
      <c r="G36" s="21">
        <v>-0.48</v>
      </c>
      <c r="H36" s="21"/>
      <c r="I36" s="21">
        <v>-1.75</v>
      </c>
      <c r="J36" s="21">
        <v>-0.69599999999999995</v>
      </c>
      <c r="K36" s="21">
        <v>-0.63700000000000001</v>
      </c>
      <c r="L36" s="21">
        <v>-13.195</v>
      </c>
      <c r="M36" s="21">
        <v>-1.3520000000000001</v>
      </c>
      <c r="N36" s="21">
        <v>-6.319</v>
      </c>
      <c r="O36" s="21">
        <v>-2.1339999999999999</v>
      </c>
      <c r="P36" s="21">
        <v>-13.827999999999999</v>
      </c>
      <c r="Q36" s="21">
        <v>-1.389</v>
      </c>
      <c r="R36" s="21">
        <v>-3.0259999999999998</v>
      </c>
      <c r="S36" s="21">
        <v>-1.242</v>
      </c>
      <c r="T36" s="21">
        <v>-3.7160000000000015</v>
      </c>
      <c r="U36" s="21">
        <v>-3.6890000000000001</v>
      </c>
      <c r="V36" s="21">
        <v>-7.9059999999999997</v>
      </c>
      <c r="W36" s="21">
        <v>-2.1030000000000002</v>
      </c>
      <c r="X36" s="21"/>
    </row>
    <row r="37" spans="1:24" s="20" customFormat="1" x14ac:dyDescent="0.2">
      <c r="A37" s="20" t="s">
        <v>15</v>
      </c>
      <c r="B37" s="20">
        <f t="shared" ref="B37:W37" si="23">+B35+B36</f>
        <v>23.919999999999998</v>
      </c>
      <c r="C37" s="20">
        <f t="shared" si="23"/>
        <v>-10.448</v>
      </c>
      <c r="D37" s="20">
        <f t="shared" si="23"/>
        <v>-4.4690000000000047</v>
      </c>
      <c r="E37" s="20">
        <f t="shared" si="23"/>
        <v>-31.239000000000001</v>
      </c>
      <c r="F37" s="20">
        <f t="shared" si="23"/>
        <v>-30.352</v>
      </c>
      <c r="G37" s="20">
        <f t="shared" si="23"/>
        <v>1.3840000000000001</v>
      </c>
      <c r="I37" s="20">
        <f t="shared" si="23"/>
        <v>2.2000000000000002</v>
      </c>
      <c r="J37" s="20">
        <f t="shared" si="23"/>
        <v>-1.605</v>
      </c>
      <c r="K37" s="20">
        <f t="shared" si="23"/>
        <v>5.4789999999999992</v>
      </c>
      <c r="L37" s="20">
        <f t="shared" si="23"/>
        <v>-5.7850000000000037</v>
      </c>
      <c r="M37" s="20">
        <f t="shared" si="23"/>
        <v>21.32</v>
      </c>
      <c r="N37" s="20">
        <f t="shared" si="23"/>
        <v>-1.1769999999999996</v>
      </c>
      <c r="O37" s="20">
        <f t="shared" si="23"/>
        <v>-2.7749999999999999</v>
      </c>
      <c r="P37" s="20">
        <f t="shared" si="23"/>
        <v>-1.8739999999999988</v>
      </c>
      <c r="Q37" s="20">
        <f t="shared" si="23"/>
        <v>12.333</v>
      </c>
      <c r="R37" s="20">
        <f t="shared" si="23"/>
        <v>-11.872</v>
      </c>
      <c r="S37" s="20">
        <f t="shared" si="23"/>
        <v>6.0880000000000001</v>
      </c>
      <c r="T37" s="20">
        <f t="shared" si="23"/>
        <v>17.155000000000001</v>
      </c>
      <c r="U37" s="20">
        <f t="shared" si="23"/>
        <v>17.779</v>
      </c>
      <c r="V37" s="20">
        <f t="shared" si="23"/>
        <v>0.95099999999999962</v>
      </c>
      <c r="W37" s="20">
        <f t="shared" si="23"/>
        <v>3.2469999999999994</v>
      </c>
    </row>
    <row r="39" spans="1:24" s="16" customFormat="1" x14ac:dyDescent="0.2">
      <c r="A39" s="18" t="s">
        <v>14</v>
      </c>
      <c r="B39" s="19">
        <v>93</v>
      </c>
      <c r="C39" s="19">
        <v>93</v>
      </c>
      <c r="D39" s="19">
        <v>95</v>
      </c>
      <c r="E39" s="19">
        <v>95</v>
      </c>
      <c r="F39" s="19">
        <v>95</v>
      </c>
      <c r="G39" s="19">
        <v>95</v>
      </c>
      <c r="H39" s="19">
        <v>0</v>
      </c>
      <c r="I39" s="19">
        <v>0</v>
      </c>
      <c r="J39" s="19">
        <v>0</v>
      </c>
      <c r="K39" s="19">
        <v>0</v>
      </c>
      <c r="L39" s="19">
        <v>0</v>
      </c>
      <c r="M39" s="19">
        <v>0</v>
      </c>
      <c r="N39" s="19">
        <v>0</v>
      </c>
      <c r="O39" s="19">
        <v>0</v>
      </c>
      <c r="P39" s="19">
        <v>0</v>
      </c>
      <c r="Q39" s="19">
        <v>0</v>
      </c>
      <c r="R39" s="19">
        <v>0</v>
      </c>
      <c r="S39" s="19">
        <v>0</v>
      </c>
      <c r="T39" s="19">
        <v>0</v>
      </c>
      <c r="U39" s="19"/>
      <c r="V39" s="19"/>
      <c r="W39" s="19"/>
      <c r="X39" s="19"/>
    </row>
    <row r="40" spans="1:24" s="16" customFormat="1" x14ac:dyDescent="0.2">
      <c r="A40" s="18" t="s">
        <v>13</v>
      </c>
      <c r="B40" s="19">
        <f>684.5-B39</f>
        <v>591.5</v>
      </c>
      <c r="C40" s="19">
        <f>672.458-C39</f>
        <v>579.45799999999997</v>
      </c>
      <c r="D40" s="19">
        <f>578.252+2.7</f>
        <v>580.952</v>
      </c>
      <c r="E40" s="19">
        <f>593.3+2.7</f>
        <v>596</v>
      </c>
      <c r="F40" s="19">
        <f>594.7+2.7</f>
        <v>597.40000000000009</v>
      </c>
      <c r="G40" s="19">
        <f>693.8-G39</f>
        <v>598.79999999999995</v>
      </c>
      <c r="H40" s="19">
        <f>598+3</f>
        <v>601</v>
      </c>
      <c r="I40" s="19">
        <v>418.8</v>
      </c>
      <c r="J40" s="19">
        <v>409.8</v>
      </c>
      <c r="K40" s="19">
        <v>410.9</v>
      </c>
      <c r="L40" s="19">
        <v>411.9</v>
      </c>
      <c r="M40" s="19">
        <v>412.9</v>
      </c>
      <c r="N40" s="19">
        <v>414</v>
      </c>
      <c r="O40" s="19">
        <v>415</v>
      </c>
      <c r="P40" s="19">
        <v>415</v>
      </c>
      <c r="Q40" s="19">
        <v>415</v>
      </c>
      <c r="R40" s="19">
        <v>295.99299999999999</v>
      </c>
      <c r="S40" s="19">
        <v>300.68299999999999</v>
      </c>
      <c r="T40" s="19">
        <v>301.46800000000002</v>
      </c>
      <c r="U40" s="19"/>
      <c r="V40" s="19"/>
      <c r="W40" s="19"/>
      <c r="X40" s="19"/>
    </row>
    <row r="41" spans="1:24" s="16" customFormat="1" x14ac:dyDescent="0.2">
      <c r="A41" s="18" t="s">
        <v>12</v>
      </c>
      <c r="B41" s="19">
        <f t="shared" ref="B41:H41" si="24">B39+B40</f>
        <v>684.5</v>
      </c>
      <c r="C41" s="19">
        <f t="shared" si="24"/>
        <v>672.45799999999997</v>
      </c>
      <c r="D41" s="19">
        <f t="shared" si="24"/>
        <v>675.952</v>
      </c>
      <c r="E41" s="19">
        <f t="shared" si="24"/>
        <v>691</v>
      </c>
      <c r="F41" s="19">
        <f t="shared" si="24"/>
        <v>692.40000000000009</v>
      </c>
      <c r="G41" s="19">
        <f t="shared" si="24"/>
        <v>693.8</v>
      </c>
      <c r="H41" s="19">
        <f t="shared" si="24"/>
        <v>601</v>
      </c>
      <c r="I41" s="19">
        <f t="shared" ref="I41:Q41" si="25">I39+I40+180</f>
        <v>598.79999999999995</v>
      </c>
      <c r="J41" s="19">
        <f t="shared" si="25"/>
        <v>589.79999999999995</v>
      </c>
      <c r="K41" s="19">
        <f t="shared" si="25"/>
        <v>590.9</v>
      </c>
      <c r="L41" s="19">
        <f t="shared" si="25"/>
        <v>591.9</v>
      </c>
      <c r="M41" s="19">
        <f t="shared" si="25"/>
        <v>592.9</v>
      </c>
      <c r="N41" s="19">
        <f t="shared" si="25"/>
        <v>594</v>
      </c>
      <c r="O41" s="19">
        <f t="shared" si="25"/>
        <v>595</v>
      </c>
      <c r="P41" s="19">
        <f t="shared" si="25"/>
        <v>595</v>
      </c>
      <c r="Q41" s="19">
        <f t="shared" si="25"/>
        <v>595</v>
      </c>
      <c r="R41" s="19">
        <v>423.51</v>
      </c>
      <c r="S41" s="19">
        <v>428.2</v>
      </c>
      <c r="T41" s="19">
        <v>428.98500000000001</v>
      </c>
      <c r="U41" s="19"/>
      <c r="V41" s="19"/>
      <c r="W41" s="19"/>
      <c r="X41" s="19"/>
    </row>
    <row r="42" spans="1:24" s="16" customFormat="1" x14ac:dyDescent="0.2">
      <c r="A42" s="18" t="s">
        <v>11</v>
      </c>
      <c r="B42" s="17"/>
      <c r="C42" s="17"/>
      <c r="D42" s="17"/>
      <c r="E42" s="17"/>
      <c r="F42" s="17"/>
      <c r="G42" s="17"/>
      <c r="H42" s="17"/>
      <c r="I42" s="17">
        <v>440.61600000000004</v>
      </c>
      <c r="J42" s="17">
        <v>524.27100000000007</v>
      </c>
      <c r="K42" s="17">
        <v>437.577</v>
      </c>
      <c r="L42" s="17">
        <v>436.57799999999997</v>
      </c>
      <c r="M42" s="17">
        <v>434.44099999999997</v>
      </c>
      <c r="N42" s="17">
        <v>432.54899999999998</v>
      </c>
      <c r="O42" s="17">
        <v>425</v>
      </c>
      <c r="P42" s="17">
        <v>425</v>
      </c>
      <c r="Q42" s="17">
        <v>425</v>
      </c>
      <c r="R42" s="17">
        <v>425</v>
      </c>
      <c r="S42" s="17">
        <v>425</v>
      </c>
      <c r="T42" s="17">
        <v>425</v>
      </c>
      <c r="U42" s="17"/>
      <c r="V42" s="17"/>
      <c r="W42" s="17"/>
      <c r="X42" s="17"/>
    </row>
    <row r="43" spans="1:24" x14ac:dyDescent="0.2">
      <c r="B43" s="16"/>
      <c r="C43" s="16"/>
      <c r="D43" s="16"/>
      <c r="E43" s="16"/>
      <c r="F43" s="16"/>
      <c r="G43" s="16"/>
      <c r="H43" s="16"/>
      <c r="I43" s="16"/>
      <c r="J43" s="16"/>
      <c r="K43" s="16"/>
      <c r="L43" s="16"/>
      <c r="M43" s="16"/>
      <c r="N43" s="16"/>
      <c r="O43" s="16"/>
      <c r="P43" s="16"/>
      <c r="Q43" s="16"/>
      <c r="R43" s="16"/>
      <c r="S43" s="16"/>
    </row>
    <row r="44" spans="1:24" x14ac:dyDescent="0.2">
      <c r="A44" s="15" t="s">
        <v>10</v>
      </c>
      <c r="B44" s="14">
        <v>276.29899999999998</v>
      </c>
      <c r="C44" s="14">
        <v>253.06399999999999</v>
      </c>
      <c r="D44" s="14">
        <v>264.32600000000002</v>
      </c>
      <c r="E44" s="14">
        <v>265.79599999999999</v>
      </c>
      <c r="F44" s="14">
        <v>293.541</v>
      </c>
      <c r="G44" s="14">
        <v>323.226</v>
      </c>
      <c r="H44" s="14">
        <v>229</v>
      </c>
      <c r="I44" s="14">
        <v>91.834000000000003</v>
      </c>
      <c r="J44" s="14">
        <v>84.679000000000002</v>
      </c>
      <c r="K44" s="14">
        <v>93</v>
      </c>
      <c r="L44" s="14">
        <v>82.6</v>
      </c>
      <c r="M44" s="14">
        <v>70.8</v>
      </c>
      <c r="N44" s="14">
        <v>49</v>
      </c>
      <c r="O44" s="14">
        <v>47</v>
      </c>
      <c r="P44" s="14">
        <v>42.6</v>
      </c>
      <c r="Q44" s="14">
        <v>74.558999999999997</v>
      </c>
      <c r="R44" s="14">
        <v>61.91</v>
      </c>
      <c r="S44" s="14">
        <v>76.802000000000007</v>
      </c>
      <c r="T44" s="14">
        <v>70.97</v>
      </c>
      <c r="U44" s="14"/>
      <c r="V44" s="14"/>
      <c r="W44" s="14"/>
      <c r="X44" s="14"/>
    </row>
    <row r="45" spans="1:24" x14ac:dyDescent="0.2">
      <c r="B45" s="11"/>
      <c r="C45" s="11"/>
      <c r="D45" s="11"/>
      <c r="E45" s="11"/>
      <c r="F45" s="11"/>
      <c r="G45" s="11"/>
      <c r="H45" s="11"/>
      <c r="I45" s="11"/>
      <c r="J45" s="11"/>
      <c r="K45" s="11"/>
      <c r="L45" s="11"/>
      <c r="M45" s="11"/>
      <c r="N45" s="11"/>
      <c r="O45" s="11"/>
      <c r="P45" s="11"/>
      <c r="Q45" s="11"/>
      <c r="R45" s="11"/>
      <c r="S45" s="11"/>
      <c r="T45" s="11"/>
    </row>
    <row r="46" spans="1:24" x14ac:dyDescent="0.2">
      <c r="A46" s="1" t="s">
        <v>9</v>
      </c>
      <c r="B46" s="13">
        <f t="shared" ref="B46:G46" si="26">C46+B12-F12</f>
        <v>263.53499999999997</v>
      </c>
      <c r="C46" s="13">
        <f t="shared" si="26"/>
        <v>235.41699999999994</v>
      </c>
      <c r="D46" s="13">
        <f t="shared" si="26"/>
        <v>292.71199999999993</v>
      </c>
      <c r="E46" s="13">
        <f t="shared" si="26"/>
        <v>275.59199999999993</v>
      </c>
      <c r="F46" s="13">
        <f t="shared" si="26"/>
        <v>360.84899999999993</v>
      </c>
      <c r="G46" s="13">
        <f t="shared" si="26"/>
        <v>473.18799999999999</v>
      </c>
      <c r="H46" s="12">
        <v>517</v>
      </c>
      <c r="I46" s="12">
        <v>313</v>
      </c>
      <c r="J46" s="12">
        <v>326</v>
      </c>
      <c r="K46" s="12">
        <v>322</v>
      </c>
      <c r="L46" s="12">
        <v>322</v>
      </c>
      <c r="M46" s="12">
        <v>336</v>
      </c>
      <c r="N46" s="12">
        <v>331</v>
      </c>
      <c r="O46" s="12">
        <v>321</v>
      </c>
      <c r="P46" s="12">
        <v>316</v>
      </c>
      <c r="Q46" s="12">
        <v>319</v>
      </c>
      <c r="R46" s="11">
        <f>SUM(R12:U12)</f>
        <v>273.96000000000004</v>
      </c>
      <c r="S46" s="11">
        <f>SUM(S12:V12)</f>
        <v>273.86699999999996</v>
      </c>
      <c r="T46" s="11">
        <f>SUM(T12:W12)</f>
        <v>265.78700000000003</v>
      </c>
      <c r="U46" s="11"/>
    </row>
    <row r="47" spans="1:24" x14ac:dyDescent="0.2">
      <c r="A47" s="1" t="s">
        <v>8</v>
      </c>
      <c r="B47" s="13">
        <f t="shared" ref="B47:G47" si="27">B27</f>
        <v>72</v>
      </c>
      <c r="C47" s="13">
        <f t="shared" si="27"/>
        <v>64.870999999999995</v>
      </c>
      <c r="D47" s="13">
        <f t="shared" si="27"/>
        <v>69.699999999999946</v>
      </c>
      <c r="E47" s="13">
        <f t="shared" si="27"/>
        <v>6.0699999999999985</v>
      </c>
      <c r="F47" s="13">
        <f t="shared" si="27"/>
        <v>93.91</v>
      </c>
      <c r="G47" s="13">
        <f t="shared" si="27"/>
        <v>123.947</v>
      </c>
      <c r="H47" s="12">
        <v>137.4</v>
      </c>
      <c r="I47" s="12">
        <v>90.5</v>
      </c>
      <c r="J47" s="12">
        <v>95.9</v>
      </c>
      <c r="K47" s="12">
        <v>87.418999999999997</v>
      </c>
      <c r="L47" s="12">
        <v>85.3</v>
      </c>
      <c r="M47" s="12">
        <v>84.1</v>
      </c>
      <c r="N47" s="12">
        <v>82.2</v>
      </c>
      <c r="O47" s="12">
        <v>81.7</v>
      </c>
      <c r="P47" s="12">
        <v>80</v>
      </c>
      <c r="Q47" s="12">
        <v>79.3</v>
      </c>
      <c r="R47" s="11">
        <f>+R27</f>
        <v>64.935000000000002</v>
      </c>
      <c r="S47" s="11">
        <f>+S27</f>
        <v>65.616000000000014</v>
      </c>
      <c r="T47" s="11">
        <f>+T27</f>
        <v>64.751999999999995</v>
      </c>
      <c r="U47" s="11"/>
    </row>
    <row r="48" spans="1:24" x14ac:dyDescent="0.2">
      <c r="A48" s="1" t="s">
        <v>7</v>
      </c>
      <c r="B48" s="13">
        <f t="shared" ref="B48:G48" si="28">C48+B37-F37</f>
        <v>90.689999999999984</v>
      </c>
      <c r="C48" s="13">
        <f t="shared" si="28"/>
        <v>36.417999999999985</v>
      </c>
      <c r="D48" s="13">
        <f t="shared" si="28"/>
        <v>48.249999999999986</v>
      </c>
      <c r="E48" s="13">
        <f t="shared" si="28"/>
        <v>52.718999999999994</v>
      </c>
      <c r="F48" s="13">
        <f t="shared" si="28"/>
        <v>86.158000000000001</v>
      </c>
      <c r="G48" s="13">
        <f t="shared" si="28"/>
        <v>114.905</v>
      </c>
      <c r="H48" s="12">
        <v>119</v>
      </c>
      <c r="I48" s="12">
        <v>19.702999999999996</v>
      </c>
      <c r="J48" s="12">
        <v>18.681999999999999</v>
      </c>
      <c r="K48" s="12">
        <v>26.144999999999996</v>
      </c>
      <c r="L48" s="11">
        <f t="shared" ref="L48:P48" si="29">+SUM(L37:O37)</f>
        <v>11.582999999999997</v>
      </c>
      <c r="M48" s="11">
        <f t="shared" si="29"/>
        <v>15.494000000000003</v>
      </c>
      <c r="N48" s="11">
        <f t="shared" si="29"/>
        <v>6.5070000000000014</v>
      </c>
      <c r="O48" s="11">
        <f t="shared" si="29"/>
        <v>-4.1879999999999988</v>
      </c>
      <c r="P48" s="11">
        <f t="shared" si="29"/>
        <v>4.6750000000000016</v>
      </c>
      <c r="Q48" s="12">
        <v>16.534899999999993</v>
      </c>
      <c r="R48" s="11">
        <f>+SUM(R37:U37)</f>
        <v>29.150000000000002</v>
      </c>
      <c r="S48" s="11">
        <f>+SUM(S37:V37)</f>
        <v>41.973000000000006</v>
      </c>
      <c r="T48" s="11">
        <f>+SUM(T37:W37)</f>
        <v>39.131999999999998</v>
      </c>
      <c r="U48" s="11"/>
    </row>
    <row r="50" spans="1:24" s="10" customFormat="1" x14ac:dyDescent="0.2">
      <c r="A50" s="10" t="s">
        <v>6</v>
      </c>
      <c r="B50" s="10">
        <f t="shared" ref="B50" si="30">+SUM(B39:B40)/B47</f>
        <v>9.5069444444444446</v>
      </c>
      <c r="C50" s="10">
        <f t="shared" ref="C50:D50" si="31">+SUM(C39:C40)/C47</f>
        <v>10.366080374897875</v>
      </c>
      <c r="D50" s="10">
        <f t="shared" si="31"/>
        <v>9.698020086083222</v>
      </c>
      <c r="E50" s="134" t="s">
        <v>615</v>
      </c>
      <c r="F50" s="10">
        <f t="shared" ref="F50" si="32">+SUM(F39:F40)/F47</f>
        <v>7.3730167181343855</v>
      </c>
      <c r="G50" s="10">
        <f t="shared" ref="G50:H50" si="33">+SUM(G39:G40)/G47</f>
        <v>5.5975537931535246</v>
      </c>
      <c r="H50" s="10">
        <f t="shared" si="33"/>
        <v>4.3740902474526928</v>
      </c>
      <c r="I50" s="10">
        <f t="shared" ref="I50:J50" si="34">+SUM(I39:I40)/I47</f>
        <v>4.6276243093922655</v>
      </c>
      <c r="J50" s="10">
        <f t="shared" si="34"/>
        <v>4.2732012513034405</v>
      </c>
      <c r="K50" s="10">
        <f t="shared" ref="K50:L50" si="35">+SUM(K39:K40)/K47</f>
        <v>4.700351182237271</v>
      </c>
      <c r="L50" s="10">
        <f t="shared" si="35"/>
        <v>4.8288393903868698</v>
      </c>
      <c r="M50" s="10">
        <f t="shared" ref="M50:T50" si="36">+SUM(M39:M40)/M47</f>
        <v>4.9096313912009517</v>
      </c>
      <c r="N50" s="10">
        <f t="shared" si="36"/>
        <v>5.0364963503649633</v>
      </c>
      <c r="O50" s="10">
        <f t="shared" si="36"/>
        <v>5.0795593635250915</v>
      </c>
      <c r="P50" s="10">
        <f t="shared" si="36"/>
        <v>5.1875</v>
      </c>
      <c r="Q50" s="10">
        <f t="shared" si="36"/>
        <v>5.2332912988650699</v>
      </c>
      <c r="R50" s="10">
        <f t="shared" si="36"/>
        <v>4.5582967582967582</v>
      </c>
      <c r="S50" s="10">
        <f t="shared" si="36"/>
        <v>4.5824646427700548</v>
      </c>
      <c r="T50" s="10">
        <f t="shared" si="36"/>
        <v>4.6557326414628122</v>
      </c>
    </row>
    <row r="51" spans="1:24" s="10" customFormat="1" x14ac:dyDescent="0.2">
      <c r="A51" s="10" t="s">
        <v>5</v>
      </c>
      <c r="B51" s="10">
        <f t="shared" ref="B51" si="37">+B41/B47</f>
        <v>9.5069444444444446</v>
      </c>
      <c r="C51" s="10">
        <f t="shared" ref="C51:D51" si="38">+C41/C47</f>
        <v>10.366080374897875</v>
      </c>
      <c r="D51" s="10">
        <f t="shared" si="38"/>
        <v>9.698020086083222</v>
      </c>
      <c r="E51" s="134" t="s">
        <v>615</v>
      </c>
      <c r="F51" s="10">
        <f t="shared" ref="F51" si="39">+F41/F47</f>
        <v>7.3730167181343855</v>
      </c>
      <c r="G51" s="10">
        <f t="shared" ref="G51:H51" si="40">+G41/G47</f>
        <v>5.5975537931535246</v>
      </c>
      <c r="H51" s="10">
        <f t="shared" si="40"/>
        <v>4.3740902474526928</v>
      </c>
      <c r="I51" s="10">
        <f t="shared" ref="I51:J51" si="41">+I41/I47</f>
        <v>6.6165745856353588</v>
      </c>
      <c r="J51" s="10">
        <f t="shared" si="41"/>
        <v>6.1501564129301345</v>
      </c>
      <c r="K51" s="10">
        <f t="shared" ref="K51:L51" si="42">+K41/K47</f>
        <v>6.7594001304064335</v>
      </c>
      <c r="L51" s="10">
        <f t="shared" si="42"/>
        <v>6.9390386869871046</v>
      </c>
      <c r="M51" s="10">
        <f t="shared" ref="M51:T51" si="43">+M41/M47</f>
        <v>7.0499405469678953</v>
      </c>
      <c r="N51" s="10">
        <f t="shared" si="43"/>
        <v>7.2262773722627731</v>
      </c>
      <c r="O51" s="10">
        <f t="shared" si="43"/>
        <v>7.282741738066095</v>
      </c>
      <c r="P51" s="10">
        <f t="shared" si="43"/>
        <v>7.4375</v>
      </c>
      <c r="Q51" s="10">
        <f t="shared" si="43"/>
        <v>7.5031525851197989</v>
      </c>
      <c r="R51" s="10">
        <f t="shared" si="43"/>
        <v>6.5220605220605217</v>
      </c>
      <c r="S51" s="10">
        <f t="shared" si="43"/>
        <v>6.5258473543038269</v>
      </c>
      <c r="T51" s="10">
        <f t="shared" si="43"/>
        <v>6.6250463306152714</v>
      </c>
    </row>
    <row r="52" spans="1:24" s="10" customFormat="1" x14ac:dyDescent="0.2">
      <c r="A52" s="10" t="s">
        <v>4</v>
      </c>
      <c r="B52" s="10">
        <f t="shared" ref="B52" si="44">+(B41-B44)/B47</f>
        <v>5.6694583333333339</v>
      </c>
      <c r="C52" s="10">
        <f t="shared" ref="C52:D52" si="45">+(C41-C44)/C47</f>
        <v>6.4650460143978057</v>
      </c>
      <c r="D52" s="10">
        <f t="shared" si="45"/>
        <v>5.9056814921090428</v>
      </c>
      <c r="E52" s="134" t="s">
        <v>615</v>
      </c>
      <c r="F52" s="10">
        <f t="shared" ref="F52" si="46">+(F41-F44)/F47</f>
        <v>4.2472473644979249</v>
      </c>
      <c r="G52" s="10">
        <f t="shared" ref="G52:H52" si="47">+(G41-G44)/G47</f>
        <v>2.9897778889363997</v>
      </c>
      <c r="H52" s="10">
        <f t="shared" si="47"/>
        <v>2.7074235807860263</v>
      </c>
      <c r="I52" s="10">
        <f t="shared" ref="I52:J52" si="48">+(I41-I44)/I47</f>
        <v>5.6018342541436459</v>
      </c>
      <c r="J52" s="10">
        <f t="shared" si="48"/>
        <v>5.2671637122002082</v>
      </c>
      <c r="K52" s="10">
        <f t="shared" ref="K52:L52" si="49">+(K41-K44)/K47</f>
        <v>5.6955581738523664</v>
      </c>
      <c r="L52" s="10">
        <f t="shared" si="49"/>
        <v>5.9706916764361075</v>
      </c>
      <c r="M52" s="10">
        <f t="shared" ref="M52:T52" si="50">+(M41-M44)/M47</f>
        <v>6.2080856123662311</v>
      </c>
      <c r="N52" s="10">
        <f t="shared" si="50"/>
        <v>6.6301703163017027</v>
      </c>
      <c r="O52" s="10">
        <f t="shared" si="50"/>
        <v>6.7074663402692778</v>
      </c>
      <c r="P52" s="10">
        <f t="shared" si="50"/>
        <v>6.9049999999999994</v>
      </c>
      <c r="Q52" s="10">
        <f t="shared" si="50"/>
        <v>6.5629382093316524</v>
      </c>
      <c r="R52" s="10">
        <f t="shared" si="50"/>
        <v>5.5686455686455689</v>
      </c>
      <c r="S52" s="10">
        <f t="shared" si="50"/>
        <v>5.3553706413069966</v>
      </c>
      <c r="T52" s="10">
        <f t="shared" si="50"/>
        <v>5.5290184086978007</v>
      </c>
    </row>
    <row r="53" spans="1:24" s="6" customFormat="1" x14ac:dyDescent="0.2">
      <c r="A53" s="6" t="s">
        <v>3</v>
      </c>
      <c r="B53" s="6">
        <f t="shared" ref="B53" si="51">+B48/B41</f>
        <v>0.13249086924762599</v>
      </c>
      <c r="C53" s="6">
        <f t="shared" ref="C53:D53" si="52">+C48/C41</f>
        <v>5.4156542118615564E-2</v>
      </c>
      <c r="D53" s="6">
        <f t="shared" si="52"/>
        <v>7.1380808104717475E-2</v>
      </c>
      <c r="E53" s="6">
        <f t="shared" ref="E53:F53" si="53">+E48/E41</f>
        <v>7.6293777134587543E-2</v>
      </c>
      <c r="F53" s="6">
        <f t="shared" si="53"/>
        <v>0.12443385326400923</v>
      </c>
      <c r="G53" s="6">
        <f t="shared" ref="G53:H53" si="54">+G48/G41</f>
        <v>0.16561689247621794</v>
      </c>
      <c r="H53" s="6">
        <f t="shared" si="54"/>
        <v>0.19800332778702162</v>
      </c>
      <c r="I53" s="6">
        <f t="shared" ref="I53:J53" si="55">+I48/I41</f>
        <v>3.2904141616566462E-2</v>
      </c>
      <c r="J53" s="6">
        <f t="shared" si="55"/>
        <v>3.1675144116649713E-2</v>
      </c>
      <c r="K53" s="6">
        <f t="shared" ref="K53:L53" si="56">+K48/K41</f>
        <v>4.4246065324081901E-2</v>
      </c>
      <c r="L53" s="6">
        <f t="shared" si="56"/>
        <v>1.956918398378104E-2</v>
      </c>
      <c r="M53" s="6">
        <f t="shared" ref="M53:T53" si="57">+M48/M41</f>
        <v>2.6132568729971335E-2</v>
      </c>
      <c r="N53" s="6">
        <f t="shared" si="57"/>
        <v>1.0954545454545456E-2</v>
      </c>
      <c r="O53" s="6">
        <f t="shared" si="57"/>
        <v>-7.0386554621848724E-3</v>
      </c>
      <c r="P53" s="6">
        <f t="shared" si="57"/>
        <v>7.8571428571428594E-3</v>
      </c>
      <c r="Q53" s="6">
        <f t="shared" si="57"/>
        <v>2.7789747899159653E-2</v>
      </c>
      <c r="R53" s="6">
        <f t="shared" si="57"/>
        <v>6.8829543576302804E-2</v>
      </c>
      <c r="S53" s="6">
        <f t="shared" si="57"/>
        <v>9.8021952358710904E-2</v>
      </c>
      <c r="T53" s="6">
        <f t="shared" si="57"/>
        <v>9.1219972726319098E-2</v>
      </c>
    </row>
    <row r="54" spans="1:24" s="6" customFormat="1" x14ac:dyDescent="0.2">
      <c r="A54" s="8" t="s">
        <v>2</v>
      </c>
      <c r="B54" s="9"/>
      <c r="C54" s="9"/>
      <c r="D54" s="9"/>
      <c r="E54" s="9"/>
      <c r="F54" s="9"/>
      <c r="G54" s="9"/>
      <c r="H54" s="9"/>
      <c r="I54" s="9"/>
      <c r="J54" s="9"/>
      <c r="K54" s="9"/>
      <c r="L54" s="9"/>
      <c r="M54" s="9"/>
      <c r="N54" s="9"/>
      <c r="O54" s="9"/>
      <c r="P54" s="9"/>
      <c r="Q54" s="9"/>
      <c r="R54" s="9"/>
      <c r="S54" s="9"/>
      <c r="T54" s="9"/>
      <c r="U54" s="9"/>
      <c r="V54" s="8"/>
      <c r="W54" s="8"/>
      <c r="X54" s="8"/>
    </row>
    <row r="55" spans="1:24" s="6" customFormat="1" x14ac:dyDescent="0.2">
      <c r="A55" s="6" t="s">
        <v>1</v>
      </c>
      <c r="B55" s="7"/>
      <c r="C55" s="7"/>
      <c r="D55" s="7"/>
      <c r="E55" s="7"/>
      <c r="F55" s="7" t="str">
        <f t="shared" ref="F55" si="58">IF(F42=0,IF(F54="","","*"&amp;TEXT(F54,"0.0x")),(F41+F42-F44)/F47)</f>
        <v/>
      </c>
      <c r="G55" s="7" t="str">
        <f t="shared" ref="G55:H55" si="59">IF(G42=0,IF(G54="","","*"&amp;TEXT(G54,"0.0x")),(G41+G42-G44)/G47)</f>
        <v/>
      </c>
      <c r="H55" s="7" t="str">
        <f t="shared" si="59"/>
        <v/>
      </c>
      <c r="I55" s="7">
        <f t="shared" ref="I55:J55" si="60">IF(I42=0,IF(I54="","","*"&amp;TEXT(I54,"0.0x")),(I41+I42-I44)/I47)</f>
        <v>10.470519337016574</v>
      </c>
      <c r="J55" s="7">
        <f t="shared" si="60"/>
        <v>10.734014598540144</v>
      </c>
      <c r="K55" s="7">
        <f t="shared" ref="K55:L55" si="61">IF(K42=0,IF(K54="","","*"&amp;TEXT(K54,"0.0x")),(K41+K42-K44)/K47)</f>
        <v>10.701071849369129</v>
      </c>
      <c r="L55" s="7">
        <f t="shared" si="61"/>
        <v>11.088839390386871</v>
      </c>
      <c r="M55" s="7">
        <f t="shared" ref="M55:U55" si="62">IF(M42=0,IF(M54="","","*"&amp;TEXT(M54,"0.0x")),(M41+M42-M44)/M47)</f>
        <v>11.373852556480381</v>
      </c>
      <c r="N55" s="7">
        <f t="shared" si="62"/>
        <v>11.892323600973235</v>
      </c>
      <c r="O55" s="7">
        <f t="shared" si="62"/>
        <v>11.909424724602204</v>
      </c>
      <c r="P55" s="7">
        <f t="shared" si="62"/>
        <v>12.217499999999999</v>
      </c>
      <c r="Q55" s="7">
        <f t="shared" si="62"/>
        <v>11.922332912988651</v>
      </c>
      <c r="R55" s="7">
        <f t="shared" si="62"/>
        <v>12.113652113652114</v>
      </c>
      <c r="S55" s="7">
        <f t="shared" si="62"/>
        <v>11.832449402584734</v>
      </c>
      <c r="T55" s="7">
        <f t="shared" si="62"/>
        <v>12.092522238695331</v>
      </c>
      <c r="U55" s="7" t="str">
        <f t="shared" si="62"/>
        <v/>
      </c>
      <c r="V55" s="7" t="str">
        <f>IF(V42=0,IF(V54="","",CONCATENATE("* ",V54,"x")),(V41+V42-V44)/V47)</f>
        <v/>
      </c>
      <c r="W55" s="7" t="str">
        <f>IF(W42=0,IF(W54="","",CONCATENATE("* ",W54,"x")),(W41+W42-W44)/W47)</f>
        <v/>
      </c>
      <c r="X55" s="7" t="str">
        <f>IF(X42=0,IF(X54="","",CONCATENATE("* ",X54,"x")),(X41+X42-X44)/X47)</f>
        <v/>
      </c>
    </row>
    <row r="56" spans="1:24" x14ac:dyDescent="0.2">
      <c r="U56" s="3"/>
    </row>
    <row r="57" spans="1:24" ht="89.25" x14ac:dyDescent="0.2">
      <c r="A57" s="5" t="s">
        <v>0</v>
      </c>
      <c r="B57" s="4" t="s">
        <v>507</v>
      </c>
      <c r="C57" s="4" t="s">
        <v>507</v>
      </c>
      <c r="D57" s="4" t="s">
        <v>507</v>
      </c>
      <c r="E57" s="4" t="s">
        <v>507</v>
      </c>
      <c r="F57" s="4" t="s">
        <v>507</v>
      </c>
      <c r="G57" s="4" t="s">
        <v>507</v>
      </c>
      <c r="H57" s="4" t="s">
        <v>495</v>
      </c>
      <c r="I57" s="4" t="s">
        <v>121</v>
      </c>
      <c r="J57" s="4" t="s">
        <v>121</v>
      </c>
      <c r="K57" s="4" t="s">
        <v>121</v>
      </c>
      <c r="L57" s="4" t="s">
        <v>121</v>
      </c>
      <c r="M57" s="4" t="s">
        <v>121</v>
      </c>
      <c r="N57" s="4" t="s">
        <v>121</v>
      </c>
      <c r="O57" s="4" t="s">
        <v>121</v>
      </c>
      <c r="P57" s="4" t="s">
        <v>121</v>
      </c>
      <c r="Q57" s="4" t="s">
        <v>121</v>
      </c>
      <c r="R57" s="4"/>
      <c r="S57" s="4"/>
      <c r="T57" s="4"/>
      <c r="U57" s="4"/>
      <c r="V57" s="4"/>
      <c r="W57" s="4"/>
      <c r="X57" s="4"/>
    </row>
    <row r="58" spans="1:24" x14ac:dyDescent="0.2">
      <c r="A58" s="2"/>
      <c r="B58" s="3"/>
      <c r="C58" s="3"/>
      <c r="D58" s="3"/>
      <c r="E58" s="3"/>
      <c r="F58" s="3"/>
      <c r="G58" s="3"/>
      <c r="H58" s="3"/>
      <c r="I58" s="3"/>
      <c r="J58" s="3"/>
      <c r="K58" s="3"/>
      <c r="L58" s="3"/>
      <c r="M58" s="3"/>
      <c r="N58" s="3"/>
      <c r="O58" s="3"/>
      <c r="P58" s="3"/>
      <c r="Q58" s="3"/>
    </row>
    <row r="59" spans="1:24" x14ac:dyDescent="0.2">
      <c r="A59" s="2"/>
    </row>
  </sheetData>
  <pageMargins left="0.7" right="0.7" top="0.75" bottom="0.75" header="0.3" footer="0.3"/>
  <pageSetup orientation="portrait" r:id="rId1"/>
  <ignoredErrors>
    <ignoredError sqref="R46:U52" formulaRange="1"/>
  </ignoredErrors>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2:T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0" width="10.7109375" style="1" customWidth="1"/>
    <col min="21" max="16384" width="9.140625" style="1"/>
  </cols>
  <sheetData>
    <row r="2" spans="1:20" x14ac:dyDescent="0.2">
      <c r="A2" s="34" t="s">
        <v>45</v>
      </c>
      <c r="B2" s="1" t="s">
        <v>91</v>
      </c>
    </row>
    <row r="3" spans="1:20" s="35" customFormat="1" x14ac:dyDescent="0.2">
      <c r="A3" s="36" t="s">
        <v>43</v>
      </c>
      <c r="B3" s="35" t="s">
        <v>125</v>
      </c>
    </row>
    <row r="4" spans="1:20" x14ac:dyDescent="0.2">
      <c r="A4" s="34" t="s">
        <v>41</v>
      </c>
      <c r="B4" s="1" t="s">
        <v>40</v>
      </c>
    </row>
    <row r="5" spans="1:20" x14ac:dyDescent="0.2">
      <c r="A5" s="34" t="s">
        <v>39</v>
      </c>
    </row>
    <row r="6" spans="1:20" x14ac:dyDescent="0.2">
      <c r="A6" s="34" t="s">
        <v>38</v>
      </c>
      <c r="B6" s="1">
        <v>3</v>
      </c>
    </row>
    <row r="7" spans="1:20" x14ac:dyDescent="0.2">
      <c r="A7" s="34" t="s">
        <v>37</v>
      </c>
      <c r="B7" s="1" t="s">
        <v>122</v>
      </c>
    </row>
    <row r="8" spans="1:20" x14ac:dyDescent="0.2">
      <c r="A8" s="34" t="s">
        <v>281</v>
      </c>
      <c r="B8" s="1" t="s">
        <v>298</v>
      </c>
    </row>
    <row r="9" spans="1:20" x14ac:dyDescent="0.2">
      <c r="A9" s="22"/>
    </row>
    <row r="10" spans="1:20" x14ac:dyDescent="0.2">
      <c r="A10" s="22" t="s">
        <v>36</v>
      </c>
      <c r="B10" s="33">
        <v>44377</v>
      </c>
      <c r="C10" s="33">
        <v>44286</v>
      </c>
      <c r="D10" s="33">
        <v>44196</v>
      </c>
      <c r="E10" s="33">
        <v>44104</v>
      </c>
      <c r="F10" s="33">
        <v>44012</v>
      </c>
      <c r="G10" s="33">
        <v>43921</v>
      </c>
      <c r="H10" s="33">
        <v>43830</v>
      </c>
      <c r="I10" s="33">
        <v>43738</v>
      </c>
      <c r="J10" s="33">
        <v>43643</v>
      </c>
      <c r="K10" s="33">
        <v>43552</v>
      </c>
      <c r="L10" s="33">
        <v>43461</v>
      </c>
      <c r="M10" s="33">
        <v>43373</v>
      </c>
      <c r="N10" s="33">
        <v>43281</v>
      </c>
      <c r="O10" s="33">
        <v>43188</v>
      </c>
      <c r="P10" s="33">
        <v>43097</v>
      </c>
      <c r="Q10" s="33">
        <v>43008</v>
      </c>
      <c r="R10" s="33">
        <f t="shared" ref="R10:T10" si="0">EOMONTH(Q10,-3)</f>
        <v>42916</v>
      </c>
      <c r="S10" s="33">
        <f t="shared" si="0"/>
        <v>42825</v>
      </c>
      <c r="T10" s="33">
        <f t="shared" si="0"/>
        <v>42735</v>
      </c>
    </row>
    <row r="12" spans="1:20" x14ac:dyDescent="0.2">
      <c r="A12" s="15" t="s">
        <v>35</v>
      </c>
      <c r="B12" s="19">
        <v>501.29310299999997</v>
      </c>
      <c r="C12" s="19">
        <v>445.590959</v>
      </c>
      <c r="D12" s="19">
        <f>1671.764099-E12-F12-G12</f>
        <v>442.7161059999998</v>
      </c>
      <c r="E12" s="19">
        <v>407.33817699999997</v>
      </c>
      <c r="F12" s="19">
        <v>403.93008400000002</v>
      </c>
      <c r="G12" s="19">
        <v>417.77973200000002</v>
      </c>
      <c r="H12" s="19">
        <f>1690.119152-I12-J12-K12</f>
        <v>412.176243</v>
      </c>
      <c r="I12" s="19">
        <v>415.183967</v>
      </c>
      <c r="J12" s="19">
        <v>430.22489899999999</v>
      </c>
      <c r="K12" s="19">
        <v>432.534043</v>
      </c>
      <c r="L12" s="19">
        <f>1681.850291-M12-N12-O12</f>
        <v>421.40593999999987</v>
      </c>
      <c r="M12" s="19">
        <v>414.43346300000002</v>
      </c>
      <c r="N12" s="19">
        <v>426.40187500000002</v>
      </c>
      <c r="O12" s="19">
        <v>419.609013</v>
      </c>
      <c r="P12" s="19">
        <f>1647.152268-S12-R12-Q12</f>
        <v>417.42180400000001</v>
      </c>
      <c r="Q12" s="19">
        <v>408.46499999999997</v>
      </c>
      <c r="R12" s="19">
        <v>410.769792</v>
      </c>
      <c r="S12" s="19">
        <v>410.49567200000001</v>
      </c>
      <c r="T12" s="19">
        <v>407.6</v>
      </c>
    </row>
    <row r="13" spans="1:20" s="28" customFormat="1" x14ac:dyDescent="0.2">
      <c r="A13" s="28" t="s">
        <v>34</v>
      </c>
      <c r="B13" s="28">
        <f t="shared" ref="B13:P13" si="1">+B12/F12-1</f>
        <v>0.24103928589780388</v>
      </c>
      <c r="C13" s="28">
        <f t="shared" si="1"/>
        <v>6.6569114942129248E-2</v>
      </c>
      <c r="D13" s="28">
        <f t="shared" si="1"/>
        <v>7.4094185481718311E-2</v>
      </c>
      <c r="E13" s="28">
        <f t="shared" si="1"/>
        <v>-1.8897141083485058E-2</v>
      </c>
      <c r="F13" s="28">
        <f t="shared" si="1"/>
        <v>-6.111876616420564E-2</v>
      </c>
      <c r="G13" s="28">
        <f t="shared" si="1"/>
        <v>-3.4111328897179938E-2</v>
      </c>
      <c r="H13" s="28">
        <f t="shared" si="1"/>
        <v>-2.1902152114893991E-2</v>
      </c>
      <c r="I13" s="28">
        <f t="shared" si="1"/>
        <v>1.810915543757563E-3</v>
      </c>
      <c r="J13" s="28">
        <f t="shared" si="1"/>
        <v>8.9657767100577157E-3</v>
      </c>
      <c r="K13" s="28">
        <f t="shared" si="1"/>
        <v>3.0802555711547663E-2</v>
      </c>
      <c r="L13" s="28">
        <f t="shared" si="1"/>
        <v>9.5446283874520699E-3</v>
      </c>
      <c r="M13" s="28">
        <f t="shared" si="1"/>
        <v>1.4611932478915124E-2</v>
      </c>
      <c r="N13" s="28">
        <f t="shared" si="1"/>
        <v>3.8055580776494846E-2</v>
      </c>
      <c r="O13" s="28">
        <f t="shared" si="1"/>
        <v>2.2200821157500439E-2</v>
      </c>
      <c r="P13" s="28">
        <f t="shared" si="1"/>
        <v>2.4096673209028419E-2</v>
      </c>
    </row>
    <row r="14" spans="1:20"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row>
    <row r="16" spans="1:20" s="22" customFormat="1" x14ac:dyDescent="0.2">
      <c r="A16" s="30" t="s">
        <v>31</v>
      </c>
      <c r="B16" s="29">
        <v>75.467917</v>
      </c>
      <c r="C16" s="29">
        <v>62.423096999999999</v>
      </c>
      <c r="D16" s="29">
        <f>D22-D21-D20-D19</f>
        <v>50.088866000000003</v>
      </c>
      <c r="E16" s="29">
        <f>E22-E21-E20-E19</f>
        <v>48.433389999999946</v>
      </c>
      <c r="F16" s="29">
        <f>F22-F21-F20-F19</f>
        <v>50.130701000000002</v>
      </c>
      <c r="G16" s="29">
        <f>G22-G21-G20-G19</f>
        <v>56.449683000000029</v>
      </c>
      <c r="H16" s="29">
        <f>H22-H21-H20-H19</f>
        <v>54.372599000000001</v>
      </c>
      <c r="I16" s="29">
        <v>53.375329000000001</v>
      </c>
      <c r="J16" s="29">
        <v>57.253782000000001</v>
      </c>
      <c r="K16" s="29">
        <f>43.999976+1.452854+14.892284</f>
        <v>60.345113999999995</v>
      </c>
      <c r="L16" s="29">
        <f>L22-L21-L20-L19</f>
        <v>44.177389000000005</v>
      </c>
      <c r="M16" s="29">
        <f>M22-M21-M20-M19</f>
        <v>44.138251000000039</v>
      </c>
      <c r="N16" s="29">
        <f>N22-N21-N20-N19</f>
        <v>54.367101000000012</v>
      </c>
      <c r="O16" s="29">
        <f>37.465045+15.538443+1.194529</f>
        <v>54.198017000000007</v>
      </c>
      <c r="P16" s="29">
        <f>P22-P21-P20-P19</f>
        <v>32.461011000000013</v>
      </c>
      <c r="Q16" s="29">
        <v>42.06699999999995</v>
      </c>
      <c r="R16" s="29">
        <v>36.582065999999983</v>
      </c>
      <c r="S16" s="29">
        <v>43.360980000000026</v>
      </c>
      <c r="T16" s="29"/>
    </row>
    <row r="17" spans="1:20" s="28" customFormat="1" x14ac:dyDescent="0.2">
      <c r="A17" s="28" t="s">
        <v>30</v>
      </c>
      <c r="B17" s="28">
        <f t="shared" ref="B17:C17" si="2">+B16/B12</f>
        <v>0.1505464897648911</v>
      </c>
      <c r="C17" s="28">
        <f t="shared" si="2"/>
        <v>0.14009058249316947</v>
      </c>
      <c r="D17" s="28">
        <f t="shared" ref="D17:E17" si="3">+D16/D12</f>
        <v>0.11313992267541319</v>
      </c>
      <c r="E17" s="28">
        <f t="shared" si="3"/>
        <v>0.11890216221986959</v>
      </c>
      <c r="F17" s="28">
        <f t="shared" ref="F17:G17" si="4">+F16/F12</f>
        <v>0.1241073715123432</v>
      </c>
      <c r="G17" s="28">
        <f t="shared" si="4"/>
        <v>0.13511829003710507</v>
      </c>
      <c r="H17" s="28">
        <f t="shared" ref="H17:S17" si="5">+H16/H12</f>
        <v>0.13191589744292953</v>
      </c>
      <c r="I17" s="28">
        <f t="shared" si="5"/>
        <v>0.12855826149953425</v>
      </c>
      <c r="J17" s="28">
        <f t="shared" si="5"/>
        <v>0.13307872727282574</v>
      </c>
      <c r="K17" s="28">
        <f t="shared" si="5"/>
        <v>0.13951529359736431</v>
      </c>
      <c r="L17" s="28">
        <f t="shared" si="5"/>
        <v>0.10483333243950006</v>
      </c>
      <c r="M17" s="28">
        <f t="shared" si="5"/>
        <v>0.10650262331736479</v>
      </c>
      <c r="N17" s="28">
        <f t="shared" si="5"/>
        <v>0.12750202142052028</v>
      </c>
      <c r="O17" s="28">
        <f t="shared" si="5"/>
        <v>0.12916313835232135</v>
      </c>
      <c r="P17" s="28">
        <f t="shared" si="5"/>
        <v>7.7765489701156126E-2</v>
      </c>
      <c r="Q17" s="28">
        <f t="shared" si="5"/>
        <v>0.10298801610909124</v>
      </c>
      <c r="R17" s="28">
        <f t="shared" si="5"/>
        <v>8.9057342366597361E-2</v>
      </c>
      <c r="S17" s="28">
        <f t="shared" si="5"/>
        <v>0.10563078482347561</v>
      </c>
    </row>
    <row r="18" spans="1:20" s="23" customFormat="1" x14ac:dyDescent="0.2"/>
    <row r="19" spans="1:20"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row>
    <row r="20" spans="1:20" s="23" customFormat="1" x14ac:dyDescent="0.2">
      <c r="A20" s="15" t="s">
        <v>28</v>
      </c>
      <c r="B20" s="19">
        <v>0</v>
      </c>
      <c r="C20" s="19">
        <v>0</v>
      </c>
      <c r="D20" s="19">
        <v>0</v>
      </c>
      <c r="E20" s="19">
        <v>0</v>
      </c>
      <c r="F20" s="19">
        <v>0</v>
      </c>
      <c r="G20" s="19">
        <v>0</v>
      </c>
      <c r="H20" s="19">
        <v>0</v>
      </c>
      <c r="I20" s="19">
        <v>0.81678700000000004</v>
      </c>
      <c r="J20" s="19">
        <v>0.125692</v>
      </c>
      <c r="K20" s="19">
        <v>0.22750400000000001</v>
      </c>
      <c r="L20" s="19">
        <v>12.738219000000001</v>
      </c>
      <c r="M20" s="19">
        <v>11.313601999999999</v>
      </c>
      <c r="N20" s="19">
        <v>6.0217450000000001</v>
      </c>
      <c r="O20" s="19">
        <v>0.22800000000000001</v>
      </c>
      <c r="P20" s="19">
        <v>16.710138999999998</v>
      </c>
      <c r="Q20" s="19">
        <v>4.6120000000000001</v>
      </c>
      <c r="R20" s="19">
        <v>16.584274000000001</v>
      </c>
      <c r="S20" s="19">
        <v>4.0602359999999997</v>
      </c>
      <c r="T20" s="19"/>
    </row>
    <row r="21" spans="1:20" s="23" customFormat="1" x14ac:dyDescent="0.2">
      <c r="A21" s="15" t="s">
        <v>18</v>
      </c>
      <c r="B21" s="19">
        <f>B22-B16-B19-B20</f>
        <v>4.9320830000000058</v>
      </c>
      <c r="C21" s="19">
        <f>C22-C16-C19-C20</f>
        <v>6.7769030000000043</v>
      </c>
      <c r="D21" s="19">
        <f>1.508588+10.602546</f>
        <v>12.111134</v>
      </c>
      <c r="E21" s="19">
        <v>8.8666100000000512</v>
      </c>
      <c r="F21" s="19">
        <v>6.6864619999999988</v>
      </c>
      <c r="G21" s="19">
        <v>3.8784179999999711</v>
      </c>
      <c r="H21" s="19">
        <f>3.778855+1.5</f>
        <v>5.2788550000000001</v>
      </c>
      <c r="I21" s="19">
        <f>I22-I16-I19-I20</f>
        <v>4.6294909999999998</v>
      </c>
      <c r="J21" s="19">
        <f>J22-J16-J19-J20</f>
        <v>6.9628089999999938</v>
      </c>
      <c r="K21" s="19">
        <f>K22-K16-K19-K20</f>
        <v>4.2112260300000024</v>
      </c>
      <c r="L21" s="19">
        <f>1.331115+1.778309+0.042606</f>
        <v>3.1520299999999999</v>
      </c>
      <c r="M21" s="19">
        <v>1.648146999999959</v>
      </c>
      <c r="N21" s="19">
        <v>2.8975659999999834</v>
      </c>
      <c r="O21" s="19">
        <f>O22-O16-O19-O20</f>
        <v>4.8420749999999959</v>
      </c>
      <c r="P21" s="19">
        <v>2.917849999999973</v>
      </c>
      <c r="Q21" s="19">
        <f>Q22-Q16-Q19-Q20</f>
        <v>2.5210000000000523</v>
      </c>
      <c r="R21" s="19">
        <v>3.2336600000000146</v>
      </c>
      <c r="S21" s="19">
        <v>3.5897839999999732</v>
      </c>
      <c r="T21" s="19"/>
    </row>
    <row r="22" spans="1:20" s="22" customFormat="1" x14ac:dyDescent="0.2">
      <c r="A22" s="22" t="s">
        <v>23</v>
      </c>
      <c r="B22" s="61">
        <v>80.400000000000006</v>
      </c>
      <c r="C22" s="61">
        <v>69.2</v>
      </c>
      <c r="D22" s="61">
        <v>62.2</v>
      </c>
      <c r="E22" s="61">
        <v>57.3</v>
      </c>
      <c r="F22" s="61">
        <v>56.817163000000001</v>
      </c>
      <c r="G22" s="61">
        <v>60.328100999999997</v>
      </c>
      <c r="H22" s="61">
        <v>59.651454000000001</v>
      </c>
      <c r="I22" s="61">
        <v>58.821607</v>
      </c>
      <c r="J22" s="61">
        <v>64.342282999999995</v>
      </c>
      <c r="K22" s="61">
        <v>64.783844029999997</v>
      </c>
      <c r="L22" s="61">
        <v>60.067638000000002</v>
      </c>
      <c r="M22" s="61">
        <v>57.1</v>
      </c>
      <c r="N22" s="61">
        <v>63.286411999999999</v>
      </c>
      <c r="O22" s="61">
        <v>59.268092000000003</v>
      </c>
      <c r="P22" s="61">
        <f>208.7-S22-R22-Q22</f>
        <v>52.088999999999984</v>
      </c>
      <c r="Q22" s="61">
        <v>49.2</v>
      </c>
      <c r="R22" s="20">
        <f t="shared" ref="R22:S22" si="6">SUM(R16,R19:R21)</f>
        <v>56.4</v>
      </c>
      <c r="S22" s="20">
        <f t="shared" si="6"/>
        <v>51.011000000000003</v>
      </c>
      <c r="T22" s="20"/>
    </row>
    <row r="23" spans="1:20" s="22" customFormat="1" x14ac:dyDescent="0.2">
      <c r="B23" s="20"/>
      <c r="C23" s="20"/>
      <c r="D23" s="20"/>
      <c r="E23" s="20"/>
      <c r="F23" s="20"/>
      <c r="G23" s="20"/>
      <c r="H23" s="20"/>
      <c r="I23" s="20"/>
      <c r="J23" s="20"/>
      <c r="K23" s="20"/>
      <c r="L23" s="20"/>
      <c r="M23" s="20"/>
      <c r="N23" s="20"/>
      <c r="O23" s="20"/>
      <c r="P23" s="20"/>
      <c r="Q23" s="20"/>
      <c r="R23" s="20"/>
      <c r="S23" s="20"/>
      <c r="T23" s="20"/>
    </row>
    <row r="24" spans="1:20" s="22" customFormat="1" x14ac:dyDescent="0.2">
      <c r="A24" s="22" t="s">
        <v>27</v>
      </c>
      <c r="B24" s="20">
        <f t="shared" ref="B24:N24" si="7">SUM(B22:E22)</f>
        <v>269.10000000000002</v>
      </c>
      <c r="C24" s="20">
        <f t="shared" si="7"/>
        <v>245.51716299999998</v>
      </c>
      <c r="D24" s="20">
        <f t="shared" si="7"/>
        <v>236.645264</v>
      </c>
      <c r="E24" s="20">
        <f t="shared" si="7"/>
        <v>234.09671800000001</v>
      </c>
      <c r="F24" s="20">
        <f t="shared" si="7"/>
        <v>235.618325</v>
      </c>
      <c r="G24" s="20">
        <f t="shared" si="7"/>
        <v>243.14344499999999</v>
      </c>
      <c r="H24" s="20">
        <f t="shared" si="7"/>
        <v>247.59918802999999</v>
      </c>
      <c r="I24" s="20">
        <f t="shared" si="7"/>
        <v>248.01537202999998</v>
      </c>
      <c r="J24" s="20">
        <f t="shared" si="7"/>
        <v>246.29376503</v>
      </c>
      <c r="K24" s="20">
        <f t="shared" si="7"/>
        <v>245.23789403000001</v>
      </c>
      <c r="L24" s="20">
        <f t="shared" si="7"/>
        <v>239.72214199999999</v>
      </c>
      <c r="M24" s="20">
        <f t="shared" si="7"/>
        <v>231.74350399999997</v>
      </c>
      <c r="N24" s="20">
        <f t="shared" si="7"/>
        <v>223.843504</v>
      </c>
      <c r="O24" s="20">
        <f t="shared" ref="O24:P24" si="8">SUM(O22:R22)</f>
        <v>216.95709200000002</v>
      </c>
      <c r="P24" s="20">
        <f t="shared" si="8"/>
        <v>208.7</v>
      </c>
      <c r="Q24" s="20"/>
      <c r="R24" s="20"/>
      <c r="S24" s="20"/>
      <c r="T24" s="20"/>
    </row>
    <row r="25" spans="1:20" s="23" customFormat="1" x14ac:dyDescent="0.2">
      <c r="A25" s="15" t="s">
        <v>26</v>
      </c>
      <c r="B25" s="27">
        <f t="shared" ref="B25" si="9">B27-B24-B26</f>
        <v>31.700743999999986</v>
      </c>
      <c r="C25" s="27">
        <f t="shared" ref="C25:D25" si="10">C27-C24-C26</f>
        <v>44.186081999999999</v>
      </c>
      <c r="D25" s="27">
        <f t="shared" si="10"/>
        <v>45.095398999999986</v>
      </c>
      <c r="E25" s="27">
        <f t="shared" ref="E25:F25" si="11">E27-E24-E26</f>
        <v>48.603281999999979</v>
      </c>
      <c r="F25" s="27">
        <f t="shared" si="11"/>
        <v>42.08167499999999</v>
      </c>
      <c r="G25" s="27">
        <f t="shared" ref="G25:P25" si="12">G27-G24-G26</f>
        <v>36.056555000000003</v>
      </c>
      <c r="H25" s="27">
        <f t="shared" si="12"/>
        <v>34.200811970000018</v>
      </c>
      <c r="I25" s="27">
        <f t="shared" si="12"/>
        <v>34.584627970000042</v>
      </c>
      <c r="J25" s="27">
        <f t="shared" si="12"/>
        <v>35.406234969999986</v>
      </c>
      <c r="K25" s="27">
        <f t="shared" si="12"/>
        <v>34.379759797048621</v>
      </c>
      <c r="L25" s="27">
        <f t="shared" si="12"/>
        <v>31.524547530415788</v>
      </c>
      <c r="M25" s="27">
        <f t="shared" si="12"/>
        <v>34.91498213521055</v>
      </c>
      <c r="N25" s="27">
        <f t="shared" si="12"/>
        <v>41.084941949914537</v>
      </c>
      <c r="O25" s="27">
        <f t="shared" si="12"/>
        <v>45.712014717647747</v>
      </c>
      <c r="P25" s="27">
        <f t="shared" si="12"/>
        <v>49.427895662649064</v>
      </c>
      <c r="Q25" s="27"/>
      <c r="R25" s="27"/>
      <c r="S25" s="27"/>
      <c r="T25" s="27"/>
    </row>
    <row r="26" spans="1:20"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c r="R26" s="21"/>
      <c r="S26" s="21"/>
      <c r="T26" s="21"/>
    </row>
    <row r="27" spans="1:20" s="24" customFormat="1" x14ac:dyDescent="0.2">
      <c r="A27" s="22" t="s">
        <v>24</v>
      </c>
      <c r="B27" s="61">
        <v>300.80074400000001</v>
      </c>
      <c r="C27" s="61">
        <v>289.70324499999998</v>
      </c>
      <c r="D27" s="61">
        <v>281.74066299999998</v>
      </c>
      <c r="E27" s="61">
        <v>282.7</v>
      </c>
      <c r="F27" s="61">
        <v>277.7</v>
      </c>
      <c r="G27" s="61">
        <v>279.2</v>
      </c>
      <c r="H27" s="61">
        <v>281.8</v>
      </c>
      <c r="I27" s="61">
        <v>282.60000000000002</v>
      </c>
      <c r="J27" s="61">
        <v>281.7</v>
      </c>
      <c r="K27" s="61">
        <v>279.61765382704863</v>
      </c>
      <c r="L27" s="61">
        <v>271.24668953041578</v>
      </c>
      <c r="M27" s="61">
        <v>266.65848613521052</v>
      </c>
      <c r="N27" s="61">
        <v>264.92844594991453</v>
      </c>
      <c r="O27" s="61">
        <v>262.66910671764776</v>
      </c>
      <c r="P27" s="61">
        <v>258.12789566264905</v>
      </c>
      <c r="Q27" s="61">
        <v>257.42111972997503</v>
      </c>
      <c r="R27" s="61">
        <v>255.24230136452476</v>
      </c>
      <c r="S27" s="61">
        <v>244.27109123060379</v>
      </c>
      <c r="T27" s="61">
        <v>241.30395410787514</v>
      </c>
    </row>
    <row r="28" spans="1:20" s="23" customFormat="1" x14ac:dyDescent="0.2">
      <c r="B28" s="20"/>
      <c r="C28" s="20"/>
      <c r="D28" s="20"/>
      <c r="E28" s="20"/>
      <c r="F28" s="20"/>
      <c r="G28" s="20"/>
      <c r="H28" s="20"/>
      <c r="O28" s="121"/>
    </row>
    <row r="29" spans="1:20" s="22" customFormat="1" x14ac:dyDescent="0.2">
      <c r="A29" s="22" t="s">
        <v>23</v>
      </c>
      <c r="B29" s="20">
        <f t="shared" ref="B29:I29" si="13">B22</f>
        <v>80.400000000000006</v>
      </c>
      <c r="C29" s="20">
        <f t="shared" si="13"/>
        <v>69.2</v>
      </c>
      <c r="D29" s="20">
        <f t="shared" si="13"/>
        <v>62.2</v>
      </c>
      <c r="E29" s="20">
        <f t="shared" si="13"/>
        <v>57.3</v>
      </c>
      <c r="F29" s="20">
        <f t="shared" si="13"/>
        <v>56.817163000000001</v>
      </c>
      <c r="G29" s="20">
        <f t="shared" si="13"/>
        <v>60.328100999999997</v>
      </c>
      <c r="H29" s="20">
        <f t="shared" si="13"/>
        <v>59.651454000000001</v>
      </c>
      <c r="I29" s="20">
        <f t="shared" si="13"/>
        <v>58.821607</v>
      </c>
      <c r="J29" s="20">
        <f t="shared" ref="J29:S29" si="14">J22</f>
        <v>64.342282999999995</v>
      </c>
      <c r="K29" s="20">
        <f t="shared" si="14"/>
        <v>64.783844029999997</v>
      </c>
      <c r="L29" s="20">
        <f t="shared" si="14"/>
        <v>60.067638000000002</v>
      </c>
      <c r="M29" s="20">
        <f t="shared" si="14"/>
        <v>57.1</v>
      </c>
      <c r="N29" s="20">
        <f t="shared" si="14"/>
        <v>63.286411999999999</v>
      </c>
      <c r="O29" s="20">
        <f t="shared" si="14"/>
        <v>59.268092000000003</v>
      </c>
      <c r="P29" s="20">
        <f t="shared" si="14"/>
        <v>52.088999999999984</v>
      </c>
      <c r="Q29" s="20">
        <f t="shared" si="14"/>
        <v>49.2</v>
      </c>
      <c r="R29" s="20">
        <f t="shared" si="14"/>
        <v>56.4</v>
      </c>
      <c r="S29" s="20">
        <f t="shared" si="14"/>
        <v>51.011000000000003</v>
      </c>
      <c r="T29" s="20"/>
    </row>
    <row r="30" spans="1:20" s="11" customFormat="1" x14ac:dyDescent="0.2">
      <c r="A30" s="19" t="s">
        <v>22</v>
      </c>
      <c r="B30" s="19">
        <v>-30.138486</v>
      </c>
      <c r="C30" s="19">
        <v>-23.677288000000001</v>
      </c>
      <c r="D30" s="19">
        <f>-91.793814-E30-F30-G30</f>
        <v>-21.997626999999998</v>
      </c>
      <c r="E30" s="19">
        <v>-25.637056999999999</v>
      </c>
      <c r="F30" s="19">
        <v>-17.434851999999999</v>
      </c>
      <c r="G30" s="19">
        <v>-26.724278000000002</v>
      </c>
      <c r="H30" s="19">
        <f>-117.685545-I30-J30-K30</f>
        <v>-26.773547999999998</v>
      </c>
      <c r="I30" s="19">
        <v>-30.575673999999999</v>
      </c>
      <c r="J30" s="19">
        <v>-30.519444</v>
      </c>
      <c r="K30" s="19">
        <v>-29.816879</v>
      </c>
      <c r="L30" s="19">
        <v>-29.391099000000001</v>
      </c>
      <c r="M30" s="19">
        <v>-30.178052000000001</v>
      </c>
      <c r="N30" s="19">
        <v>-31.360401</v>
      </c>
      <c r="O30" s="19">
        <v>-29.770875</v>
      </c>
      <c r="P30" s="19">
        <v>-28.379861000000005</v>
      </c>
      <c r="Q30" s="19">
        <v>-25.588999999999999</v>
      </c>
      <c r="R30" s="19">
        <v>-19.509022999999999</v>
      </c>
      <c r="S30" s="19">
        <v>-24.224502999999999</v>
      </c>
      <c r="T30" s="19"/>
    </row>
    <row r="31" spans="1:20" s="11" customFormat="1" x14ac:dyDescent="0.2">
      <c r="A31" s="19" t="s">
        <v>21</v>
      </c>
      <c r="B31" s="19">
        <v>-0.12920499999999999</v>
      </c>
      <c r="C31" s="19">
        <v>-0.21251500000000001</v>
      </c>
      <c r="D31" s="19">
        <f>-1.591823-E31-F31-G31</f>
        <v>-0.23004099999999997</v>
      </c>
      <c r="E31" s="19">
        <v>-0.77707100000000007</v>
      </c>
      <c r="F31" s="19">
        <v>-0.56281899999999996</v>
      </c>
      <c r="G31" s="19">
        <v>-2.1892000000000002E-2</v>
      </c>
      <c r="H31" s="19">
        <f>-2.988451-I31-J31-K31</f>
        <v>-4.0242260000000005</v>
      </c>
      <c r="I31" s="19">
        <v>1.6491920000000002</v>
      </c>
      <c r="J31" s="19">
        <v>-1.7279199999999999</v>
      </c>
      <c r="K31" s="19">
        <v>1.114503</v>
      </c>
      <c r="L31" s="19">
        <v>-0.62230399999999997</v>
      </c>
      <c r="M31" s="19">
        <v>-5.6830759999999998</v>
      </c>
      <c r="N31" s="19">
        <v>-0.24515400000000009</v>
      </c>
      <c r="O31" s="19">
        <v>-0.69797400000000009</v>
      </c>
      <c r="P31" s="19">
        <v>0.56990100000000066</v>
      </c>
      <c r="Q31" s="19">
        <v>-0.67600000000000016</v>
      </c>
      <c r="R31" s="19">
        <v>-0.88144399999999967</v>
      </c>
      <c r="S31" s="19">
        <v>-0.5374570000000003</v>
      </c>
      <c r="T31" s="19"/>
    </row>
    <row r="32" spans="1:20" s="11" customFormat="1" x14ac:dyDescent="0.2">
      <c r="A32" s="19" t="s">
        <v>20</v>
      </c>
      <c r="B32" s="19">
        <v>-12.883999999999999</v>
      </c>
      <c r="C32" s="19">
        <v>21.208299999999998</v>
      </c>
      <c r="D32" s="19">
        <f>-19.847774-19.20801-9.142939+35.552349+0.881429+2.792638+0.275053+1.175191-E32-F32-G32</f>
        <v>-9.1269519999999957</v>
      </c>
      <c r="E32" s="19">
        <v>-0.43767900000000148</v>
      </c>
      <c r="F32" s="19">
        <f>16.553552-8.025328+0.513556+10.655707-0.408294-0.557651+0.139508+0.441244</f>
        <v>19.312293999999998</v>
      </c>
      <c r="G32" s="19">
        <v>-17.269726000000002</v>
      </c>
      <c r="H32" s="19">
        <f>1.243325+2.015474-0.89039-2.614618-0.976491+0.748859-0.241662+0.156229</f>
        <v>-0.55927399999999983</v>
      </c>
      <c r="I32" s="19">
        <v>-2.9700620000000004</v>
      </c>
      <c r="J32" s="19">
        <f>7.134117+3.458958-0.802058-3.031257+0.078786-1.67776-2.16439-1.051628</f>
        <v>1.9447679999999981</v>
      </c>
      <c r="K32" s="19">
        <f>5.414677-11.277996-2.053084-0.292543+0.078786+1.62374-0.28889+0.674944</f>
        <v>-6.1203660000000006</v>
      </c>
      <c r="L32" s="19">
        <f>-6.428162+2.646453-1.756387+4.840685+1.421861+2.244164-2.782478+0.501276</f>
        <v>0.68741199999999991</v>
      </c>
      <c r="M32" s="19">
        <v>15.400765</v>
      </c>
      <c r="N32" s="19">
        <v>-8.6833019999999994</v>
      </c>
      <c r="O32" s="19">
        <f>6.07055+6.019304-0.757161+4.62573+0.034607-0.671934+0.71356-0.034542</f>
        <v>16.000114</v>
      </c>
      <c r="P32" s="19">
        <v>-0.69550400000000145</v>
      </c>
      <c r="Q32" s="19">
        <v>-1.5279999999999998</v>
      </c>
      <c r="R32" s="19">
        <v>-10.884018000000001</v>
      </c>
      <c r="S32" s="19">
        <v>2.765323</v>
      </c>
      <c r="T32" s="19"/>
    </row>
    <row r="33" spans="1:20" s="11" customFormat="1" x14ac:dyDescent="0.2">
      <c r="A33" s="19" t="s">
        <v>19</v>
      </c>
      <c r="B33" s="19">
        <f t="shared" ref="B33:C33" si="15">-B19-B20-B21</f>
        <v>-4.9320830000000058</v>
      </c>
      <c r="C33" s="19">
        <f t="shared" si="15"/>
        <v>-6.7769030000000043</v>
      </c>
      <c r="D33" s="19">
        <f t="shared" ref="D33:E33" si="16">-D19-D20-D21</f>
        <v>-12.111134</v>
      </c>
      <c r="E33" s="19">
        <f t="shared" si="16"/>
        <v>-8.8666100000000512</v>
      </c>
      <c r="F33" s="19">
        <f t="shared" ref="F33:G33" si="17">-F19-F20-F21</f>
        <v>-6.6864619999999988</v>
      </c>
      <c r="G33" s="19">
        <f t="shared" si="17"/>
        <v>-3.8784179999999711</v>
      </c>
      <c r="H33" s="19">
        <f t="shared" ref="H33:M33" si="18">-H19-H20-H21</f>
        <v>-5.2788550000000001</v>
      </c>
      <c r="I33" s="19">
        <f t="shared" si="18"/>
        <v>-5.4462779999999995</v>
      </c>
      <c r="J33" s="19">
        <f t="shared" si="18"/>
        <v>-7.0885009999999937</v>
      </c>
      <c r="K33" s="19">
        <f t="shared" si="18"/>
        <v>-4.4387300300000021</v>
      </c>
      <c r="L33" s="19">
        <f t="shared" si="18"/>
        <v>-15.890249000000001</v>
      </c>
      <c r="M33" s="19">
        <f t="shared" si="18"/>
        <v>-12.961748999999958</v>
      </c>
      <c r="N33" s="19">
        <f t="shared" ref="N33:S33" si="19">-N19-N20-N21</f>
        <v>-8.9193109999999827</v>
      </c>
      <c r="O33" s="19">
        <f t="shared" si="19"/>
        <v>-5.0700749999999957</v>
      </c>
      <c r="P33" s="19">
        <f t="shared" si="19"/>
        <v>-19.627988999999971</v>
      </c>
      <c r="Q33" s="19">
        <f t="shared" si="19"/>
        <v>-7.1330000000000524</v>
      </c>
      <c r="R33" s="19">
        <f t="shared" si="19"/>
        <v>-19.817934000000015</v>
      </c>
      <c r="S33" s="19">
        <f t="shared" si="19"/>
        <v>-7.650019999999973</v>
      </c>
      <c r="T33" s="19"/>
    </row>
    <row r="34" spans="1:20" s="11" customFormat="1" x14ac:dyDescent="0.2">
      <c r="A34" s="19" t="s">
        <v>18</v>
      </c>
      <c r="B34" s="21">
        <f t="shared" ref="B34:C34" si="20">B35-B29-B30-B31-B32-B33</f>
        <v>1.6427740000000011</v>
      </c>
      <c r="C34" s="21">
        <f t="shared" si="20"/>
        <v>-1.5444689999999959</v>
      </c>
      <c r="D34" s="21">
        <f t="shared" ref="D34:E34" si="21">D35-D29-D30-D31-D32-D33</f>
        <v>-3.3073980000000169</v>
      </c>
      <c r="E34" s="21">
        <f t="shared" si="21"/>
        <v>1.5455810000000554</v>
      </c>
      <c r="F34" s="21">
        <f t="shared" ref="F34:G34" si="22">F35-F29-F30-F31-F32-F33</f>
        <v>-6.8166950000000028</v>
      </c>
      <c r="G34" s="21">
        <f t="shared" si="22"/>
        <v>-0.7072560000000192</v>
      </c>
      <c r="H34" s="21">
        <f t="shared" ref="H34:S34" si="23">H35-H29-H30-H31-H32-H33</f>
        <v>2.8762910000000086</v>
      </c>
      <c r="I34" s="21">
        <f t="shared" si="23"/>
        <v>-2.794374000000003</v>
      </c>
      <c r="J34" s="21">
        <f t="shared" si="23"/>
        <v>2.4826739999999967</v>
      </c>
      <c r="K34" s="21">
        <f t="shared" si="23"/>
        <v>-0.99406599999999301</v>
      </c>
      <c r="L34" s="21">
        <f t="shared" si="23"/>
        <v>4.1118010000000016</v>
      </c>
      <c r="M34" s="21">
        <f t="shared" si="23"/>
        <v>1.4103209999999571</v>
      </c>
      <c r="N34" s="21">
        <f t="shared" si="23"/>
        <v>2.7000139999999835</v>
      </c>
      <c r="O34" s="21">
        <f t="shared" si="23"/>
        <v>1.4624549999999967</v>
      </c>
      <c r="P34" s="21">
        <f t="shared" si="23"/>
        <v>2.5891739999999928</v>
      </c>
      <c r="Q34" s="21">
        <f t="shared" si="23"/>
        <v>0.86200000000004362</v>
      </c>
      <c r="R34" s="21">
        <f t="shared" si="23"/>
        <v>0.68741900000001266</v>
      </c>
      <c r="S34" s="21">
        <f t="shared" si="23"/>
        <v>3.8230069999999676</v>
      </c>
      <c r="T34" s="21"/>
    </row>
    <row r="35" spans="1:20" s="20" customFormat="1" x14ac:dyDescent="0.2">
      <c r="A35" s="20" t="s">
        <v>17</v>
      </c>
      <c r="B35" s="20">
        <v>33.959000000000003</v>
      </c>
      <c r="C35" s="20">
        <v>58.197125</v>
      </c>
      <c r="D35" s="20">
        <f>94.909172-E35-F35-G35</f>
        <v>15.426847999999994</v>
      </c>
      <c r="E35" s="20">
        <v>23.127164</v>
      </c>
      <c r="F35" s="20">
        <v>44.628628999999997</v>
      </c>
      <c r="G35" s="20">
        <v>11.726531</v>
      </c>
      <c r="H35" s="20">
        <f>98.538419-I35-J35-K35</f>
        <v>25.891842000000011</v>
      </c>
      <c r="I35" s="20">
        <v>18.684411000000001</v>
      </c>
      <c r="J35" s="20">
        <v>29.433859999999999</v>
      </c>
      <c r="K35" s="20">
        <v>24.528306000000001</v>
      </c>
      <c r="L35" s="20">
        <v>18.963198999999999</v>
      </c>
      <c r="M35" s="20">
        <v>25.088208999999999</v>
      </c>
      <c r="N35" s="20">
        <v>16.778258000000001</v>
      </c>
      <c r="O35" s="20">
        <v>41.191737000000003</v>
      </c>
      <c r="P35" s="20">
        <v>6.5447210000000027</v>
      </c>
      <c r="Q35" s="20">
        <v>15.135999999999999</v>
      </c>
      <c r="R35" s="20">
        <v>5.9950000000000001</v>
      </c>
      <c r="S35" s="20">
        <v>25.187349999999999</v>
      </c>
    </row>
    <row r="36" spans="1:20" s="11" customFormat="1" x14ac:dyDescent="0.2">
      <c r="A36" s="19" t="s">
        <v>16</v>
      </c>
      <c r="B36" s="21">
        <v>-6.8877740000000003</v>
      </c>
      <c r="C36" s="21">
        <v>-7.8840269999999997</v>
      </c>
      <c r="D36" s="21">
        <f>-39.69612-E36-F36-G36</f>
        <v>-9.5898169999999983</v>
      </c>
      <c r="E36" s="21">
        <v>-14.708698999999999</v>
      </c>
      <c r="F36" s="21">
        <v>-8.5279830000000008</v>
      </c>
      <c r="G36" s="21">
        <v>-6.8696210000000004</v>
      </c>
      <c r="H36" s="21">
        <f>-25.546697-I36-J36-K36</f>
        <v>-6.9165320000000028</v>
      </c>
      <c r="I36" s="21">
        <v>-7.7081150000000003</v>
      </c>
      <c r="J36" s="21">
        <v>-5.9029389999999999</v>
      </c>
      <c r="K36" s="21">
        <v>-5.0191109999999997</v>
      </c>
      <c r="L36" s="21">
        <v>-7.1598920000000001</v>
      </c>
      <c r="M36" s="21">
        <v>-8.2658369999999994</v>
      </c>
      <c r="N36" s="21">
        <v>-4.8315260000000002</v>
      </c>
      <c r="O36" s="21">
        <v>-4.3945670000000003</v>
      </c>
      <c r="P36" s="21">
        <v>-6.9563969999999991</v>
      </c>
      <c r="Q36" s="21">
        <v>-6.3049999999999997</v>
      </c>
      <c r="R36" s="21">
        <v>-6.5718360000000002</v>
      </c>
      <c r="S36" s="21">
        <v>-4.6199560000000002</v>
      </c>
      <c r="T36" s="21"/>
    </row>
    <row r="37" spans="1:20" s="20" customFormat="1" x14ac:dyDescent="0.2">
      <c r="A37" s="20" t="s">
        <v>15</v>
      </c>
      <c r="B37" s="20">
        <f t="shared" ref="B37:S37" si="24">+B35+B36</f>
        <v>27.071226000000003</v>
      </c>
      <c r="C37" s="20">
        <f t="shared" si="24"/>
        <v>50.313097999999997</v>
      </c>
      <c r="D37" s="20">
        <f t="shared" si="24"/>
        <v>5.8370309999999961</v>
      </c>
      <c r="E37" s="20">
        <f t="shared" si="24"/>
        <v>8.4184650000000012</v>
      </c>
      <c r="F37" s="20">
        <f t="shared" si="24"/>
        <v>36.100645999999998</v>
      </c>
      <c r="G37" s="20">
        <f t="shared" si="24"/>
        <v>4.8569099999999992</v>
      </c>
      <c r="H37" s="20">
        <f t="shared" si="24"/>
        <v>18.975310000000007</v>
      </c>
      <c r="I37" s="20">
        <f t="shared" si="24"/>
        <v>10.976296000000001</v>
      </c>
      <c r="J37" s="20">
        <f t="shared" si="24"/>
        <v>23.530920999999999</v>
      </c>
      <c r="K37" s="20">
        <f t="shared" si="24"/>
        <v>19.509195000000002</v>
      </c>
      <c r="L37" s="20">
        <f t="shared" si="24"/>
        <v>11.803307</v>
      </c>
      <c r="M37" s="20">
        <f t="shared" si="24"/>
        <v>16.822372000000001</v>
      </c>
      <c r="N37" s="20">
        <f t="shared" si="24"/>
        <v>11.946732000000001</v>
      </c>
      <c r="O37" s="20">
        <f t="shared" si="24"/>
        <v>36.797170000000001</v>
      </c>
      <c r="P37" s="20">
        <f t="shared" si="24"/>
        <v>-0.41167599999999638</v>
      </c>
      <c r="Q37" s="20">
        <f t="shared" si="24"/>
        <v>8.8309999999999995</v>
      </c>
      <c r="R37" s="20">
        <f t="shared" si="24"/>
        <v>-0.57683600000000013</v>
      </c>
      <c r="S37" s="20">
        <f t="shared" si="24"/>
        <v>20.567394</v>
      </c>
    </row>
    <row r="38" spans="1:20" x14ac:dyDescent="0.2">
      <c r="L38" s="11"/>
      <c r="N38" s="11"/>
    </row>
    <row r="39" spans="1:20" s="16" customFormat="1" x14ac:dyDescent="0.2">
      <c r="A39" s="18" t="s">
        <v>14</v>
      </c>
      <c r="B39" s="19">
        <v>0</v>
      </c>
      <c r="C39" s="19">
        <v>0</v>
      </c>
      <c r="D39" s="19">
        <v>0</v>
      </c>
      <c r="E39" s="19">
        <v>0</v>
      </c>
      <c r="F39" s="19">
        <v>0</v>
      </c>
      <c r="G39" s="19">
        <v>0</v>
      </c>
      <c r="H39" s="19">
        <v>0</v>
      </c>
      <c r="I39" s="19">
        <v>0</v>
      </c>
      <c r="J39" s="19">
        <v>0</v>
      </c>
      <c r="K39" s="19">
        <v>0</v>
      </c>
      <c r="L39" s="19">
        <v>0</v>
      </c>
      <c r="M39" s="19">
        <v>0</v>
      </c>
      <c r="N39" s="19">
        <v>0</v>
      </c>
      <c r="O39" s="19">
        <v>0</v>
      </c>
      <c r="P39" s="19">
        <v>0</v>
      </c>
      <c r="Q39" s="19">
        <v>0</v>
      </c>
      <c r="R39" s="19">
        <v>0</v>
      </c>
      <c r="S39" s="19">
        <v>0</v>
      </c>
      <c r="T39" s="19"/>
    </row>
    <row r="40" spans="1:20" s="16" customFormat="1" x14ac:dyDescent="0.2">
      <c r="A40" s="18" t="s">
        <v>13</v>
      </c>
      <c r="B40" s="19">
        <v>925</v>
      </c>
      <c r="C40" s="19">
        <v>1217.676076</v>
      </c>
      <c r="D40" s="19">
        <v>1227.423301</v>
      </c>
      <c r="E40" s="19">
        <v>1233.930683</v>
      </c>
      <c r="F40" s="19">
        <v>1237.1710660000001</v>
      </c>
      <c r="G40" s="19">
        <v>1285.330689825</v>
      </c>
      <c r="H40" s="19">
        <f>1243.55207</f>
        <v>1243.55207</v>
      </c>
      <c r="I40" s="19">
        <f>1246.721609+4.398896+2.228268</f>
        <v>1253.3487729999999</v>
      </c>
      <c r="J40" s="19">
        <f>1250.120258+6.409882</f>
        <v>1256.5301399999998</v>
      </c>
      <c r="K40" s="19">
        <f>1267.839564+6.698263</f>
        <v>1274.5378270000001</v>
      </c>
      <c r="L40" s="19">
        <v>1270.946985</v>
      </c>
      <c r="M40" s="19">
        <v>1274.2451771273438</v>
      </c>
      <c r="N40" s="19">
        <f>1277.4</f>
        <v>1277.4000000000001</v>
      </c>
      <c r="O40" s="19">
        <v>1280.6403749999999</v>
      </c>
      <c r="P40" s="19">
        <v>1283.8499999999999</v>
      </c>
      <c r="Q40" s="19">
        <v>1224</v>
      </c>
      <c r="R40" s="19">
        <v>1230</v>
      </c>
      <c r="S40" s="19">
        <v>1100</v>
      </c>
      <c r="T40" s="19"/>
    </row>
    <row r="41" spans="1:20" s="16" customFormat="1" x14ac:dyDescent="0.2">
      <c r="A41" s="18" t="s">
        <v>12</v>
      </c>
      <c r="B41" s="19">
        <f>B39+B40+700</f>
        <v>1625</v>
      </c>
      <c r="C41" s="19">
        <f>C39+C40+385</f>
        <v>1602.676076</v>
      </c>
      <c r="D41" s="19">
        <f>+D39+D40+384.922901+0.044933</f>
        <v>1612.3911350000001</v>
      </c>
      <c r="E41" s="19">
        <f>E39+E40+385+5.63457</f>
        <v>1624.565253</v>
      </c>
      <c r="F41" s="19">
        <f>F39+F40+385+6.23657</f>
        <v>1628.4076360000001</v>
      </c>
      <c r="G41" s="19">
        <f>G39+G40+384.922901+6.609623</f>
        <v>1676.8632138250002</v>
      </c>
      <c r="H41" s="19">
        <f>H39+H40+384.922901+0.098623</f>
        <v>1628.5735940000002</v>
      </c>
      <c r="I41" s="19">
        <f>I39+I40+385</f>
        <v>1638.3487729999999</v>
      </c>
      <c r="J41" s="19">
        <f>J39+J40+385</f>
        <v>1641.5301399999998</v>
      </c>
      <c r="K41" s="19">
        <f>K39+K40+385</f>
        <v>1659.5378270000001</v>
      </c>
      <c r="L41" s="19">
        <f>L39+L40+385+3.802996+0.144888</f>
        <v>1659.894869</v>
      </c>
      <c r="M41" s="19">
        <v>1663.4993701273438</v>
      </c>
      <c r="N41" s="19">
        <f>N39+N40+385+3.8</f>
        <v>1666.2</v>
      </c>
      <c r="O41" s="19">
        <v>1668.672335</v>
      </c>
      <c r="P41" s="19">
        <v>1672.6702379999999</v>
      </c>
      <c r="Q41" s="19">
        <v>1564</v>
      </c>
      <c r="R41" s="19">
        <v>1570</v>
      </c>
      <c r="S41" s="19">
        <v>1360</v>
      </c>
      <c r="T41" s="19"/>
    </row>
    <row r="42" spans="1:20" s="16" customFormat="1" x14ac:dyDescent="0.2">
      <c r="A42" s="18" t="s">
        <v>11</v>
      </c>
      <c r="B42" s="17">
        <v>0</v>
      </c>
      <c r="C42" s="17">
        <v>0</v>
      </c>
      <c r="D42" s="17">
        <v>0</v>
      </c>
      <c r="E42" s="17">
        <v>0</v>
      </c>
      <c r="F42" s="17">
        <v>0</v>
      </c>
      <c r="G42" s="17">
        <v>0</v>
      </c>
      <c r="H42" s="17">
        <v>0</v>
      </c>
      <c r="I42" s="17">
        <v>0</v>
      </c>
      <c r="J42" s="17">
        <v>0</v>
      </c>
      <c r="K42" s="17">
        <v>0</v>
      </c>
      <c r="L42" s="17">
        <v>0</v>
      </c>
      <c r="M42" s="17">
        <v>0</v>
      </c>
      <c r="N42" s="17">
        <v>0</v>
      </c>
      <c r="O42" s="17">
        <v>0</v>
      </c>
      <c r="P42" s="17">
        <v>0</v>
      </c>
      <c r="Q42" s="17">
        <v>0</v>
      </c>
      <c r="R42" s="17">
        <v>0</v>
      </c>
      <c r="S42" s="17">
        <v>0</v>
      </c>
      <c r="T42" s="17"/>
    </row>
    <row r="43" spans="1:20" x14ac:dyDescent="0.2">
      <c r="B43" s="16"/>
      <c r="C43" s="16"/>
      <c r="D43" s="16"/>
      <c r="E43" s="16"/>
      <c r="F43" s="16"/>
      <c r="G43" s="16"/>
      <c r="H43" s="16"/>
      <c r="I43" s="16"/>
      <c r="J43" s="16"/>
      <c r="K43" s="16"/>
      <c r="L43" s="16"/>
      <c r="M43" s="16"/>
      <c r="N43" s="16"/>
      <c r="O43" s="16"/>
      <c r="P43" s="16"/>
      <c r="Q43" s="16"/>
      <c r="R43" s="16"/>
      <c r="S43" s="16"/>
    </row>
    <row r="44" spans="1:20" x14ac:dyDescent="0.2">
      <c r="A44" s="15" t="s">
        <v>10</v>
      </c>
      <c r="B44" s="27">
        <v>51.501108520000002</v>
      </c>
      <c r="C44" s="27">
        <v>46.057412999999997</v>
      </c>
      <c r="D44" s="27">
        <v>7.6483920000000003</v>
      </c>
      <c r="E44" s="27">
        <v>86.677520000000001</v>
      </c>
      <c r="F44" s="27">
        <v>76.715767</v>
      </c>
      <c r="G44" s="27">
        <v>90.815893000000003</v>
      </c>
      <c r="H44" s="27">
        <v>118.87962899999999</v>
      </c>
      <c r="I44" s="27">
        <v>105.146811</v>
      </c>
      <c r="J44" s="27">
        <v>97.779593000000006</v>
      </c>
      <c r="K44" s="27">
        <v>91.583775000000003</v>
      </c>
      <c r="L44" s="27">
        <v>80.454927999999995</v>
      </c>
      <c r="M44" s="27">
        <v>80.031261999999998</v>
      </c>
      <c r="N44" s="27">
        <v>57.5</v>
      </c>
      <c r="O44" s="27">
        <v>51.385312999999996</v>
      </c>
      <c r="P44" s="27">
        <v>21.579650000000001</v>
      </c>
      <c r="Q44" s="27">
        <v>107.30216399999995</v>
      </c>
      <c r="R44" s="27">
        <v>101.42516399999995</v>
      </c>
      <c r="S44" s="27">
        <v>45.759394000000015</v>
      </c>
      <c r="T44" s="27"/>
    </row>
    <row r="46" spans="1:20" x14ac:dyDescent="0.2">
      <c r="A46" s="1" t="s">
        <v>9</v>
      </c>
      <c r="B46" s="11">
        <f t="shared" ref="B46:Q46" si="25">SUM(B12:E12)</f>
        <v>1796.9383449999996</v>
      </c>
      <c r="C46" s="11">
        <f t="shared" si="25"/>
        <v>1699.5753259999997</v>
      </c>
      <c r="D46" s="11">
        <f t="shared" si="25"/>
        <v>1671.7640989999998</v>
      </c>
      <c r="E46" s="11">
        <f t="shared" si="25"/>
        <v>1641.224236</v>
      </c>
      <c r="F46" s="11">
        <f t="shared" si="25"/>
        <v>1649.0700259999999</v>
      </c>
      <c r="G46" s="11">
        <f t="shared" si="25"/>
        <v>1675.3648410000001</v>
      </c>
      <c r="H46" s="11">
        <f t="shared" si="25"/>
        <v>1690.1191520000002</v>
      </c>
      <c r="I46" s="11">
        <f t="shared" si="25"/>
        <v>1699.3488489999997</v>
      </c>
      <c r="J46" s="11">
        <f t="shared" si="25"/>
        <v>1698.5983449999999</v>
      </c>
      <c r="K46" s="11">
        <f t="shared" si="25"/>
        <v>1694.7753209999998</v>
      </c>
      <c r="L46" s="11">
        <f t="shared" si="25"/>
        <v>1681.850291</v>
      </c>
      <c r="M46" s="11">
        <f t="shared" si="25"/>
        <v>1677.8661550000002</v>
      </c>
      <c r="N46" s="11">
        <f t="shared" si="25"/>
        <v>1671.897692</v>
      </c>
      <c r="O46" s="11">
        <f t="shared" si="25"/>
        <v>1656.265609</v>
      </c>
      <c r="P46" s="11">
        <f t="shared" si="25"/>
        <v>1647.152268</v>
      </c>
      <c r="Q46" s="11">
        <f t="shared" si="25"/>
        <v>1637.3304640000001</v>
      </c>
      <c r="R46" s="11"/>
      <c r="S46" s="11"/>
      <c r="T46" s="11"/>
    </row>
    <row r="47" spans="1:20" x14ac:dyDescent="0.2">
      <c r="A47" s="1" t="s">
        <v>8</v>
      </c>
      <c r="B47" s="11">
        <f t="shared" ref="B47" si="26">B27</f>
        <v>300.80074400000001</v>
      </c>
      <c r="C47" s="11">
        <f t="shared" ref="C47:D47" si="27">C27</f>
        <v>289.70324499999998</v>
      </c>
      <c r="D47" s="11">
        <f t="shared" si="27"/>
        <v>281.74066299999998</v>
      </c>
      <c r="E47" s="11">
        <f t="shared" ref="E47:F47" si="28">E27</f>
        <v>282.7</v>
      </c>
      <c r="F47" s="11">
        <f t="shared" si="28"/>
        <v>277.7</v>
      </c>
      <c r="G47" s="11">
        <f t="shared" ref="G47:H47" si="29">G27</f>
        <v>279.2</v>
      </c>
      <c r="H47" s="11">
        <f t="shared" si="29"/>
        <v>281.8</v>
      </c>
      <c r="I47" s="11">
        <f t="shared" ref="I47:J47" si="30">I27</f>
        <v>282.60000000000002</v>
      </c>
      <c r="J47" s="11">
        <f t="shared" si="30"/>
        <v>281.7</v>
      </c>
      <c r="K47" s="11">
        <f t="shared" ref="K47:L47" si="31">K27</f>
        <v>279.61765382704863</v>
      </c>
      <c r="L47" s="11">
        <f t="shared" si="31"/>
        <v>271.24668953041578</v>
      </c>
      <c r="M47" s="11">
        <f t="shared" ref="M47:S47" si="32">M27</f>
        <v>266.65848613521052</v>
      </c>
      <c r="N47" s="11">
        <f t="shared" si="32"/>
        <v>264.92844594991453</v>
      </c>
      <c r="O47" s="11">
        <f t="shared" si="32"/>
        <v>262.66910671764776</v>
      </c>
      <c r="P47" s="11">
        <f t="shared" si="32"/>
        <v>258.12789566264905</v>
      </c>
      <c r="Q47" s="11">
        <f t="shared" si="32"/>
        <v>257.42111972997503</v>
      </c>
      <c r="R47" s="11">
        <f t="shared" si="32"/>
        <v>255.24230136452476</v>
      </c>
      <c r="S47" s="11">
        <f t="shared" si="32"/>
        <v>244.27109123060379</v>
      </c>
      <c r="T47" s="11"/>
    </row>
    <row r="48" spans="1:20" x14ac:dyDescent="0.2">
      <c r="A48" s="1" t="s">
        <v>7</v>
      </c>
      <c r="B48" s="11">
        <f t="shared" ref="B48:P48" si="33">+SUM(B37:E37)</f>
        <v>91.639819999999986</v>
      </c>
      <c r="C48" s="11">
        <f t="shared" si="33"/>
        <v>100.66923999999999</v>
      </c>
      <c r="D48" s="11">
        <f t="shared" si="33"/>
        <v>55.21305199999999</v>
      </c>
      <c r="E48" s="11">
        <f t="shared" si="33"/>
        <v>68.351331000000002</v>
      </c>
      <c r="F48" s="11">
        <f t="shared" si="33"/>
        <v>70.909162000000009</v>
      </c>
      <c r="G48" s="11">
        <f t="shared" si="33"/>
        <v>58.339437000000011</v>
      </c>
      <c r="H48" s="11">
        <f t="shared" si="33"/>
        <v>72.99172200000001</v>
      </c>
      <c r="I48" s="11">
        <f t="shared" si="33"/>
        <v>65.819719000000006</v>
      </c>
      <c r="J48" s="11">
        <f t="shared" si="33"/>
        <v>71.665795000000003</v>
      </c>
      <c r="K48" s="11">
        <f t="shared" si="33"/>
        <v>60.081606000000008</v>
      </c>
      <c r="L48" s="11">
        <f t="shared" si="33"/>
        <v>77.369581000000011</v>
      </c>
      <c r="M48" s="11">
        <f t="shared" si="33"/>
        <v>65.154598000000007</v>
      </c>
      <c r="N48" s="11">
        <f t="shared" si="33"/>
        <v>57.163226000000009</v>
      </c>
      <c r="O48" s="11">
        <f t="shared" si="33"/>
        <v>44.639658000000011</v>
      </c>
      <c r="P48" s="11">
        <f t="shared" si="33"/>
        <v>28.409882000000003</v>
      </c>
      <c r="Q48" s="11"/>
      <c r="R48" s="11"/>
      <c r="S48" s="11"/>
      <c r="T48" s="11"/>
    </row>
    <row r="50" spans="1:20" s="10" customFormat="1" x14ac:dyDescent="0.2">
      <c r="A50" s="10" t="s">
        <v>6</v>
      </c>
      <c r="B50" s="10">
        <f t="shared" ref="B50" si="34">+SUM(B39:B40)/B47</f>
        <v>3.0751253726952217</v>
      </c>
      <c r="C50" s="10">
        <f t="shared" ref="C50:D50" si="35">+SUM(C39:C40)/C47</f>
        <v>4.2031841100019438</v>
      </c>
      <c r="D50" s="10">
        <f t="shared" si="35"/>
        <v>4.3565713515766094</v>
      </c>
      <c r="E50" s="10">
        <f t="shared" ref="E50:F50" si="36">+SUM(E39:E40)/E47</f>
        <v>4.3648060948001417</v>
      </c>
      <c r="F50" s="10">
        <f t="shared" si="36"/>
        <v>4.4550632553114875</v>
      </c>
      <c r="G50" s="10">
        <f t="shared" ref="G50:H50" si="37">+SUM(G39:G40)/G47</f>
        <v>4.6036199492299428</v>
      </c>
      <c r="H50" s="10">
        <f t="shared" si="37"/>
        <v>4.4128888218594744</v>
      </c>
      <c r="I50" s="10">
        <f t="shared" ref="I50:J50" si="38">+SUM(I39:I40)/I47</f>
        <v>4.4350628910120307</v>
      </c>
      <c r="J50" s="10">
        <f t="shared" si="38"/>
        <v>4.4605258785942485</v>
      </c>
      <c r="K50" s="10">
        <f t="shared" ref="K50:L50" si="39">+SUM(K39:K40)/K47</f>
        <v>4.5581450582813972</v>
      </c>
      <c r="L50" s="10">
        <f t="shared" si="39"/>
        <v>4.6855760238042814</v>
      </c>
      <c r="M50" s="10">
        <f t="shared" ref="M50:S50" si="40">+SUM(M39:M40)/M47</f>
        <v>4.7785660062632749</v>
      </c>
      <c r="N50" s="10">
        <f t="shared" si="40"/>
        <v>4.8216792855890462</v>
      </c>
      <c r="O50" s="10">
        <f t="shared" si="40"/>
        <v>4.8754891315658417</v>
      </c>
      <c r="P50" s="10">
        <f t="shared" si="40"/>
        <v>4.9736972313828547</v>
      </c>
      <c r="Q50" s="10">
        <f t="shared" si="40"/>
        <v>4.7548546183154263</v>
      </c>
      <c r="R50" s="10">
        <f t="shared" si="40"/>
        <v>4.8189504381696251</v>
      </c>
      <c r="S50" s="10">
        <f t="shared" si="40"/>
        <v>4.5031935398427745</v>
      </c>
    </row>
    <row r="51" spans="1:20" s="10" customFormat="1" x14ac:dyDescent="0.2">
      <c r="A51" s="10" t="s">
        <v>5</v>
      </c>
      <c r="B51" s="10">
        <f t="shared" ref="B51" si="41">+B41/B47</f>
        <v>5.4022472763564702</v>
      </c>
      <c r="C51" s="10">
        <f t="shared" ref="C51:D51" si="42">+C41/C47</f>
        <v>5.5321302182859569</v>
      </c>
      <c r="D51" s="10">
        <f t="shared" si="42"/>
        <v>5.7229620951094313</v>
      </c>
      <c r="E51" s="10">
        <f t="shared" ref="E51:F51" si="43">+E41/E47</f>
        <v>5.7466050689777148</v>
      </c>
      <c r="F51" s="10">
        <f t="shared" si="43"/>
        <v>5.8639093842275845</v>
      </c>
      <c r="G51" s="10">
        <f t="shared" ref="G51:H51" si="44">+G41/G47</f>
        <v>6.0059570695737836</v>
      </c>
      <c r="H51" s="10">
        <f t="shared" si="44"/>
        <v>5.7791823775727469</v>
      </c>
      <c r="I51" s="10">
        <f t="shared" ref="I51:J51" si="45">+I41/I47</f>
        <v>5.7974125017692844</v>
      </c>
      <c r="J51" s="10">
        <f t="shared" si="45"/>
        <v>5.827228044018459</v>
      </c>
      <c r="K51" s="10">
        <f t="shared" ref="K51:L51" si="46">+K41/K47</f>
        <v>5.9350252184952197</v>
      </c>
      <c r="L51" s="10">
        <f t="shared" si="46"/>
        <v>6.1195027739273868</v>
      </c>
      <c r="M51" s="10">
        <f t="shared" ref="M51:S51" si="47">+M41/M47</f>
        <v>6.2383140106925312</v>
      </c>
      <c r="N51" s="10">
        <f t="shared" si="47"/>
        <v>6.289245362179793</v>
      </c>
      <c r="O51" s="10">
        <f t="shared" si="47"/>
        <v>6.3527544439922066</v>
      </c>
      <c r="P51" s="10">
        <f t="shared" si="47"/>
        <v>6.480005710758344</v>
      </c>
      <c r="Q51" s="10">
        <f t="shared" si="47"/>
        <v>6.0756475678474891</v>
      </c>
      <c r="R51" s="10">
        <f t="shared" si="47"/>
        <v>6.1510180389644802</v>
      </c>
      <c r="S51" s="10">
        <f t="shared" si="47"/>
        <v>5.5675847401692486</v>
      </c>
    </row>
    <row r="52" spans="1:20" s="10" customFormat="1" x14ac:dyDescent="0.2">
      <c r="A52" s="10" t="s">
        <v>4</v>
      </c>
      <c r="B52" s="10">
        <f t="shared" ref="B52" si="48">+(B41-B44)/B47</f>
        <v>5.2310339082140036</v>
      </c>
      <c r="C52" s="10">
        <f t="shared" ref="C52:D52" si="49">+(C41-C44)/C47</f>
        <v>5.3731488682496469</v>
      </c>
      <c r="D52" s="10">
        <f t="shared" si="49"/>
        <v>5.6958151724091035</v>
      </c>
      <c r="E52" s="10">
        <f t="shared" ref="E52:F52" si="50">+(E41-E44)/E47</f>
        <v>5.4399990555359041</v>
      </c>
      <c r="F52" s="10">
        <f t="shared" si="50"/>
        <v>5.5876552718761268</v>
      </c>
      <c r="G52" s="10">
        <f t="shared" ref="G52:H52" si="51">+(G41-G44)/G47</f>
        <v>5.6806852465078812</v>
      </c>
      <c r="H52" s="10">
        <f t="shared" si="51"/>
        <v>5.3573242193044717</v>
      </c>
      <c r="I52" s="10">
        <f t="shared" ref="I52:J52" si="52">+(I41-I44)/I47</f>
        <v>5.4253431068648261</v>
      </c>
      <c r="J52" s="10">
        <f t="shared" si="52"/>
        <v>5.4801226375576855</v>
      </c>
      <c r="K52" s="10">
        <f t="shared" ref="K52:L52" si="53">+(K41-K44)/K47</f>
        <v>5.607493055391358</v>
      </c>
      <c r="L52" s="10">
        <f t="shared" si="53"/>
        <v>5.8228911244385611</v>
      </c>
      <c r="M52" s="10">
        <f t="shared" ref="M52:S52" si="54">+(M41-M44)/M47</f>
        <v>5.9381875712158596</v>
      </c>
      <c r="N52" s="10">
        <f t="shared" si="54"/>
        <v>6.0722056260584765</v>
      </c>
      <c r="O52" s="10">
        <f t="shared" si="54"/>
        <v>6.1571268970677941</v>
      </c>
      <c r="P52" s="10">
        <f t="shared" si="54"/>
        <v>6.3964050989585157</v>
      </c>
      <c r="Q52" s="10">
        <f t="shared" si="54"/>
        <v>5.6588124452570971</v>
      </c>
      <c r="R52" s="10">
        <f t="shared" si="54"/>
        <v>5.7536498775829958</v>
      </c>
      <c r="S52" s="10">
        <f t="shared" si="54"/>
        <v>5.3802543697620484</v>
      </c>
    </row>
    <row r="53" spans="1:20" s="6" customFormat="1" x14ac:dyDescent="0.2">
      <c r="A53" s="6" t="s">
        <v>3</v>
      </c>
      <c r="B53" s="6">
        <f t="shared" ref="B53" si="55">+B48/B41</f>
        <v>5.6393735384615375E-2</v>
      </c>
      <c r="C53" s="6">
        <f t="shared" ref="C53:D53" si="56">+C48/C41</f>
        <v>6.281321691108839E-2</v>
      </c>
      <c r="D53" s="6">
        <f t="shared" si="56"/>
        <v>3.4242964254451815E-2</v>
      </c>
      <c r="E53" s="6">
        <f t="shared" ref="E53:F53" si="57">+E48/E41</f>
        <v>4.2073613770686746E-2</v>
      </c>
      <c r="F53" s="6">
        <f t="shared" si="57"/>
        <v>4.3545093029765183E-2</v>
      </c>
      <c r="G53" s="6">
        <f t="shared" ref="G53:H53" si="58">+G48/G41</f>
        <v>3.4790814491615647E-2</v>
      </c>
      <c r="H53" s="6">
        <f t="shared" si="58"/>
        <v>4.4819418826951701E-2</v>
      </c>
      <c r="I53" s="6">
        <f t="shared" ref="I53:J53" si="59">+I48/I41</f>
        <v>4.017442444777905E-2</v>
      </c>
      <c r="J53" s="6">
        <f t="shared" si="59"/>
        <v>4.3657922114058785E-2</v>
      </c>
      <c r="K53" s="6">
        <f t="shared" ref="K53:L53" si="60">+K48/K41</f>
        <v>3.6203818329716204E-2</v>
      </c>
      <c r="L53" s="6">
        <f t="shared" si="60"/>
        <v>4.6611133298225776E-2</v>
      </c>
      <c r="M53" s="6">
        <f t="shared" ref="M53:S53" si="61">+M48/M41</f>
        <v>3.9167191265610343E-2</v>
      </c>
      <c r="N53" s="6">
        <f t="shared" si="61"/>
        <v>3.4307541711679275E-2</v>
      </c>
      <c r="O53" s="6">
        <f t="shared" si="61"/>
        <v>2.6751601895527329E-2</v>
      </c>
      <c r="P53" s="6">
        <f t="shared" si="61"/>
        <v>1.6984747713314669E-2</v>
      </c>
      <c r="Q53" s="6">
        <f t="shared" si="61"/>
        <v>0</v>
      </c>
      <c r="R53" s="6">
        <f t="shared" si="61"/>
        <v>0</v>
      </c>
      <c r="S53" s="6">
        <f t="shared" si="61"/>
        <v>0</v>
      </c>
    </row>
    <row r="54" spans="1:20" s="6" customFormat="1" x14ac:dyDescent="0.2">
      <c r="A54" s="8" t="s">
        <v>2</v>
      </c>
      <c r="B54" s="9">
        <v>10</v>
      </c>
      <c r="C54" s="9">
        <v>10</v>
      </c>
      <c r="D54" s="9">
        <v>10</v>
      </c>
      <c r="E54" s="9">
        <v>10</v>
      </c>
      <c r="F54" s="9">
        <v>10</v>
      </c>
      <c r="G54" s="9">
        <v>10</v>
      </c>
      <c r="H54" s="9">
        <v>10</v>
      </c>
      <c r="I54" s="9">
        <v>10</v>
      </c>
      <c r="J54" s="9">
        <v>10</v>
      </c>
      <c r="K54" s="9">
        <v>10</v>
      </c>
      <c r="L54" s="9">
        <v>10</v>
      </c>
      <c r="M54" s="9">
        <v>10</v>
      </c>
      <c r="N54" s="9">
        <v>10</v>
      </c>
      <c r="O54" s="9">
        <v>10</v>
      </c>
      <c r="P54" s="9">
        <v>10</v>
      </c>
      <c r="Q54" s="9">
        <v>10</v>
      </c>
      <c r="R54" s="9">
        <v>10</v>
      </c>
      <c r="S54" s="9">
        <v>10</v>
      </c>
      <c r="T54" s="9"/>
    </row>
    <row r="55" spans="1:20" s="6" customFormat="1" x14ac:dyDescent="0.2">
      <c r="A55" s="6" t="s">
        <v>1</v>
      </c>
      <c r="B55" s="7" t="str">
        <f t="shared" ref="B55" si="62">IF(B42=0,IF(B54="","","*"&amp;TEXT(B54,"0.0x")),(B41+B42-B44)/B47)</f>
        <v>*10.0x</v>
      </c>
      <c r="C55" s="7" t="str">
        <f t="shared" ref="C55:D55" si="63">IF(C42=0,IF(C54="","","*"&amp;TEXT(C54,"0.0x")),(C41+C42-C44)/C47)</f>
        <v>*10.0x</v>
      </c>
      <c r="D55" s="7" t="str">
        <f t="shared" si="63"/>
        <v>*10.0x</v>
      </c>
      <c r="E55" s="7" t="str">
        <f t="shared" ref="E55:F55" si="64">IF(E42=0,IF(E54="","","*"&amp;TEXT(E54,"0.0x")),(E41+E42-E44)/E47)</f>
        <v>*10.0x</v>
      </c>
      <c r="F55" s="7" t="str">
        <f t="shared" si="64"/>
        <v>*10.0x</v>
      </c>
      <c r="G55" s="7" t="str">
        <f t="shared" ref="G55:H55" si="65">IF(G42=0,IF(G54="","","*"&amp;TEXT(G54,"0.0x")),(G41+G42-G44)/G47)</f>
        <v>*10.0x</v>
      </c>
      <c r="H55" s="7" t="str">
        <f t="shared" si="65"/>
        <v>*10.0x</v>
      </c>
      <c r="I55" s="7" t="str">
        <f t="shared" ref="I55:J55" si="66">IF(I42=0,IF(I54="","","*"&amp;TEXT(I54,"0.0x")),(I41+I42-I44)/I47)</f>
        <v>*10.0x</v>
      </c>
      <c r="J55" s="7" t="str">
        <f t="shared" si="66"/>
        <v>*10.0x</v>
      </c>
      <c r="K55" s="7" t="str">
        <f t="shared" ref="K55:L55" si="67">IF(K42=0,IF(K54="","","*"&amp;TEXT(K54,"0.0x")),(K41+K42-K44)/K47)</f>
        <v>*10.0x</v>
      </c>
      <c r="L55" s="7" t="str">
        <f t="shared" si="67"/>
        <v>*10.0x</v>
      </c>
      <c r="M55" s="7" t="str">
        <f t="shared" ref="M55:T55" si="68">IF(M42=0,IF(M54="","","*"&amp;TEXT(M54,"0.0x")),(M41+M42-M44)/M47)</f>
        <v>*10.0x</v>
      </c>
      <c r="N55" s="7" t="str">
        <f t="shared" si="68"/>
        <v>*10.0x</v>
      </c>
      <c r="O55" s="7" t="str">
        <f t="shared" si="68"/>
        <v>*10.0x</v>
      </c>
      <c r="P55" s="7" t="str">
        <f t="shared" si="68"/>
        <v>*10.0x</v>
      </c>
      <c r="Q55" s="7" t="str">
        <f t="shared" si="68"/>
        <v>*10.0x</v>
      </c>
      <c r="R55" s="7" t="str">
        <f t="shared" si="68"/>
        <v>*10.0x</v>
      </c>
      <c r="S55" s="7" t="str">
        <f t="shared" si="68"/>
        <v>*10.0x</v>
      </c>
      <c r="T55" s="7" t="str">
        <f t="shared" si="68"/>
        <v/>
      </c>
    </row>
    <row r="57" spans="1:20" ht="80.25" customHeight="1" x14ac:dyDescent="0.2">
      <c r="A57" s="5" t="s">
        <v>0</v>
      </c>
      <c r="B57" s="4" t="s">
        <v>497</v>
      </c>
      <c r="C57" s="4" t="s">
        <v>497</v>
      </c>
      <c r="D57" s="4" t="s">
        <v>497</v>
      </c>
      <c r="E57" s="4" t="s">
        <v>497</v>
      </c>
      <c r="F57" s="4" t="s">
        <v>497</v>
      </c>
      <c r="G57" s="4" t="s">
        <v>497</v>
      </c>
      <c r="H57" s="4" t="s">
        <v>497</v>
      </c>
      <c r="I57" s="4" t="s">
        <v>124</v>
      </c>
      <c r="J57" s="4" t="s">
        <v>124</v>
      </c>
      <c r="K57" s="4" t="s">
        <v>222</v>
      </c>
      <c r="L57" s="4" t="s">
        <v>222</v>
      </c>
      <c r="M57" s="4" t="s">
        <v>241</v>
      </c>
      <c r="N57" s="4" t="s">
        <v>222</v>
      </c>
      <c r="O57" s="4" t="s">
        <v>222</v>
      </c>
      <c r="P57" s="4" t="s">
        <v>124</v>
      </c>
      <c r="Q57" s="4" t="s">
        <v>124</v>
      </c>
      <c r="R57" s="4" t="s">
        <v>124</v>
      </c>
      <c r="S57" s="4" t="s">
        <v>124</v>
      </c>
      <c r="T57" s="4"/>
    </row>
    <row r="58" spans="1:20" x14ac:dyDescent="0.2">
      <c r="A58" s="2"/>
      <c r="B58" s="3"/>
      <c r="C58" s="3"/>
      <c r="D58" s="3"/>
      <c r="E58" s="3"/>
      <c r="F58" s="3"/>
      <c r="G58" s="3"/>
      <c r="H58" s="3"/>
      <c r="I58" s="3"/>
      <c r="J58" s="3"/>
      <c r="K58" s="3"/>
      <c r="L58" s="3"/>
      <c r="M58" s="3"/>
      <c r="N58" s="3"/>
      <c r="O58" s="3"/>
      <c r="P58" s="3"/>
      <c r="Q58" s="3"/>
    </row>
    <row r="59" spans="1:20" x14ac:dyDescent="0.2">
      <c r="A59" s="2"/>
    </row>
  </sheetData>
  <pageMargins left="0.7" right="0.7" top="0.75" bottom="0.75" header="0.3" footer="0.3"/>
  <pageSetup orientation="portrait" r:id="rId1"/>
  <ignoredErrors>
    <ignoredError sqref="M50:T51 M24:M26 K24:L26 I27 I24:J26 K27:L27 E24:H24 C24:D25" formulaRange="1"/>
  </ignoredErrors>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2:AD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3" width="10.7109375" style="1" customWidth="1"/>
    <col min="24" max="16384" width="9.140625" style="1"/>
  </cols>
  <sheetData>
    <row r="2" spans="1:24" x14ac:dyDescent="0.2">
      <c r="A2" s="34" t="s">
        <v>45</v>
      </c>
      <c r="B2" s="1" t="s">
        <v>212</v>
      </c>
    </row>
    <row r="3" spans="1:24" s="35" customFormat="1" x14ac:dyDescent="0.2">
      <c r="A3" s="36" t="s">
        <v>43</v>
      </c>
      <c r="B3" s="35" t="s">
        <v>211</v>
      </c>
    </row>
    <row r="4" spans="1:24" x14ac:dyDescent="0.2">
      <c r="A4" s="34" t="s">
        <v>41</v>
      </c>
      <c r="B4" s="1" t="s">
        <v>40</v>
      </c>
    </row>
    <row r="5" spans="1:24" x14ac:dyDescent="0.2">
      <c r="A5" s="34" t="s">
        <v>39</v>
      </c>
    </row>
    <row r="6" spans="1:24" x14ac:dyDescent="0.2">
      <c r="A6" s="34" t="s">
        <v>38</v>
      </c>
      <c r="B6" s="1">
        <v>3</v>
      </c>
    </row>
    <row r="7" spans="1:24" x14ac:dyDescent="0.2">
      <c r="A7" s="34" t="s">
        <v>37</v>
      </c>
      <c r="B7" s="1" t="s">
        <v>157</v>
      </c>
    </row>
    <row r="8" spans="1:24" x14ac:dyDescent="0.2">
      <c r="A8" s="34" t="s">
        <v>281</v>
      </c>
      <c r="B8" s="1" t="s">
        <v>297</v>
      </c>
    </row>
    <row r="9" spans="1:24" x14ac:dyDescent="0.2">
      <c r="A9" s="22"/>
    </row>
    <row r="10" spans="1:24"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43280</v>
      </c>
      <c r="O10" s="33">
        <v>43190</v>
      </c>
      <c r="P10" s="33">
        <v>43100</v>
      </c>
      <c r="Q10" s="33">
        <v>43008</v>
      </c>
      <c r="R10" s="33">
        <v>42916</v>
      </c>
      <c r="S10" s="33">
        <v>42825</v>
      </c>
      <c r="T10" s="33">
        <v>42735</v>
      </c>
      <c r="U10" s="33">
        <v>42643</v>
      </c>
      <c r="V10" s="33">
        <v>42551</v>
      </c>
      <c r="W10" s="33">
        <v>42460</v>
      </c>
    </row>
    <row r="12" spans="1:24" x14ac:dyDescent="0.2">
      <c r="A12" s="15" t="s">
        <v>35</v>
      </c>
      <c r="B12" s="19">
        <v>439.05700000000002</v>
      </c>
      <c r="C12" s="19">
        <v>344.49400000000003</v>
      </c>
      <c r="D12" s="19">
        <v>363.39799999999991</v>
      </c>
      <c r="E12" s="19">
        <v>357.60300000000001</v>
      </c>
      <c r="F12" s="19">
        <v>284.75400000000002</v>
      </c>
      <c r="G12" s="19">
        <v>405.43099999999998</v>
      </c>
      <c r="H12" s="19">
        <v>529.29899999999998</v>
      </c>
      <c r="I12" s="19">
        <v>544.55399999999997</v>
      </c>
      <c r="J12" s="19">
        <v>550.40700000000004</v>
      </c>
      <c r="K12" s="19">
        <v>462.05</v>
      </c>
      <c r="L12" s="19">
        <f>1969.5-M12-N12-O12</f>
        <v>525.94389000000001</v>
      </c>
      <c r="M12" s="19">
        <v>519.40514099999996</v>
      </c>
      <c r="N12" s="19">
        <v>494.624504</v>
      </c>
      <c r="O12" s="19">
        <v>429.52646499999997</v>
      </c>
      <c r="P12" s="19">
        <v>479.59547099999997</v>
      </c>
      <c r="Q12" s="19">
        <v>488.08725800000002</v>
      </c>
      <c r="R12" s="19">
        <v>478.12616100000002</v>
      </c>
      <c r="S12" s="19">
        <v>410.48152700000003</v>
      </c>
      <c r="T12" s="19">
        <v>395.327</v>
      </c>
      <c r="U12" s="19">
        <v>413.57299999999998</v>
      </c>
      <c r="V12" s="19">
        <v>331.33199999999999</v>
      </c>
      <c r="W12" s="19">
        <v>282.95400000000001</v>
      </c>
      <c r="X12" s="72"/>
    </row>
    <row r="13" spans="1:24" s="28" customFormat="1" x14ac:dyDescent="0.2">
      <c r="A13" s="28" t="s">
        <v>34</v>
      </c>
      <c r="B13" s="28">
        <f t="shared" ref="B13:S13" si="0">+B12/F12-1</f>
        <v>0.54188176461085713</v>
      </c>
      <c r="C13" s="28">
        <f t="shared" si="0"/>
        <v>-0.15030177761443986</v>
      </c>
      <c r="D13" s="28">
        <f t="shared" si="0"/>
        <v>-0.31343531727813589</v>
      </c>
      <c r="E13" s="28">
        <f t="shared" si="0"/>
        <v>-0.34331030531407347</v>
      </c>
      <c r="F13" s="28">
        <f t="shared" si="0"/>
        <v>-0.4826482948072971</v>
      </c>
      <c r="G13" s="28">
        <f t="shared" si="0"/>
        <v>-0.12253868628936271</v>
      </c>
      <c r="H13" s="28">
        <f t="shared" si="0"/>
        <v>6.3792166118707971E-3</v>
      </c>
      <c r="I13" s="28">
        <f t="shared" si="0"/>
        <v>4.8418579283950658E-2</v>
      </c>
      <c r="J13" s="28">
        <f t="shared" si="0"/>
        <v>0.11277746158730539</v>
      </c>
      <c r="K13" s="28">
        <f t="shared" si="0"/>
        <v>7.5719513581078202E-2</v>
      </c>
      <c r="L13" s="28">
        <f t="shared" si="0"/>
        <v>9.6640651971461322E-2</v>
      </c>
      <c r="M13" s="28">
        <f t="shared" si="0"/>
        <v>6.4164516665173643E-2</v>
      </c>
      <c r="N13" s="28">
        <f t="shared" si="0"/>
        <v>3.4506254511348367E-2</v>
      </c>
      <c r="O13" s="28">
        <f t="shared" si="0"/>
        <v>4.6396577549274065E-2</v>
      </c>
      <c r="P13" s="28">
        <f t="shared" si="0"/>
        <v>0.21316143597578718</v>
      </c>
      <c r="Q13" s="28">
        <f t="shared" si="0"/>
        <v>0.18017195996837332</v>
      </c>
      <c r="R13" s="28">
        <f t="shared" si="0"/>
        <v>0.44304251023142971</v>
      </c>
      <c r="S13" s="28">
        <f t="shared" si="0"/>
        <v>0.45070056263562286</v>
      </c>
    </row>
    <row r="14" spans="1:24"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c r="U14" s="32"/>
      <c r="V14" s="31"/>
      <c r="W14" s="31"/>
    </row>
    <row r="16" spans="1:24" s="22" customFormat="1" x14ac:dyDescent="0.2">
      <c r="A16" s="30" t="s">
        <v>31</v>
      </c>
      <c r="B16" s="29">
        <v>17.5</v>
      </c>
      <c r="C16" s="29">
        <v>0.29999999999999982</v>
      </c>
      <c r="D16" s="29">
        <v>5.5999999999999801</v>
      </c>
      <c r="E16" s="29">
        <v>10.6</v>
      </c>
      <c r="F16" s="29">
        <v>-5.8</v>
      </c>
      <c r="G16" s="29">
        <v>-1.0999999999999996</v>
      </c>
      <c r="H16" s="29">
        <v>37.5</v>
      </c>
      <c r="I16" s="29">
        <v>28</v>
      </c>
      <c r="J16" s="29">
        <v>26.5</v>
      </c>
      <c r="K16" s="29">
        <v>11.2</v>
      </c>
      <c r="L16" s="29">
        <f>96.9-M16-N16-O16</f>
        <v>29.563944000000003</v>
      </c>
      <c r="M16" s="29">
        <v>27.186221</v>
      </c>
      <c r="N16" s="29">
        <v>24.086022</v>
      </c>
      <c r="O16" s="29">
        <v>16.063813</v>
      </c>
      <c r="P16" s="29">
        <v>21.009509000000001</v>
      </c>
      <c r="Q16" s="29">
        <v>32.900491000000002</v>
      </c>
      <c r="R16" s="29">
        <v>30.772466000000001</v>
      </c>
      <c r="S16" s="29">
        <v>16.857498</v>
      </c>
      <c r="T16" s="29">
        <v>22.082000000000022</v>
      </c>
      <c r="U16" s="29">
        <v>30.009999999999962</v>
      </c>
      <c r="V16" s="29">
        <v>19.515000000000022</v>
      </c>
      <c r="W16" s="29">
        <v>9.6440000000000126</v>
      </c>
      <c r="X16" s="72"/>
    </row>
    <row r="17" spans="1:30" s="28" customFormat="1" x14ac:dyDescent="0.2">
      <c r="A17" s="28" t="s">
        <v>30</v>
      </c>
      <c r="B17" s="28">
        <f t="shared" ref="B17:C17" si="1">+B16/B12</f>
        <v>3.9858150536262946E-2</v>
      </c>
      <c r="C17" s="28">
        <f t="shared" si="1"/>
        <v>8.70842452989021E-4</v>
      </c>
      <c r="D17" s="28">
        <f t="shared" ref="D17:E17" si="2">+D16/D12</f>
        <v>1.5410101321416137E-2</v>
      </c>
      <c r="E17" s="28">
        <f t="shared" si="2"/>
        <v>2.9641809492649669E-2</v>
      </c>
      <c r="F17" s="28">
        <f t="shared" ref="F17:G17" si="3">+F16/F12</f>
        <v>-2.036845838864423E-2</v>
      </c>
      <c r="G17" s="28">
        <f t="shared" si="3"/>
        <v>-2.7131620423697243E-3</v>
      </c>
      <c r="H17" s="28">
        <f t="shared" ref="H17:I17" si="4">+H16/H12</f>
        <v>7.0848424047655484E-2</v>
      </c>
      <c r="I17" s="28">
        <f t="shared" si="4"/>
        <v>5.1418224822515311E-2</v>
      </c>
      <c r="J17" s="28">
        <f t="shared" ref="J17:K17" si="5">+J16/J12</f>
        <v>4.8146190001217275E-2</v>
      </c>
      <c r="K17" s="28">
        <f t="shared" si="5"/>
        <v>2.4239800887349852E-2</v>
      </c>
      <c r="L17" s="28">
        <f t="shared" ref="L17:W17" si="6">+L16/L12</f>
        <v>5.6211212948970662E-2</v>
      </c>
      <c r="M17" s="28">
        <f t="shared" si="6"/>
        <v>5.2341070301420066E-2</v>
      </c>
      <c r="N17" s="28">
        <f t="shared" si="6"/>
        <v>4.8695569680065831E-2</v>
      </c>
      <c r="O17" s="28">
        <f t="shared" si="6"/>
        <v>3.7398889961297262E-2</v>
      </c>
      <c r="P17" s="28">
        <f t="shared" si="6"/>
        <v>4.3806729359210324E-2</v>
      </c>
      <c r="Q17" s="28">
        <f t="shared" si="6"/>
        <v>6.7406986068052607E-2</v>
      </c>
      <c r="R17" s="28">
        <f t="shared" si="6"/>
        <v>6.4360556920038517E-2</v>
      </c>
      <c r="S17" s="28">
        <f t="shared" si="6"/>
        <v>4.1067616667680149E-2</v>
      </c>
      <c r="T17" s="28">
        <f t="shared" si="6"/>
        <v>5.5857555896764E-2</v>
      </c>
      <c r="U17" s="28">
        <f t="shared" si="6"/>
        <v>7.2562764010223019E-2</v>
      </c>
      <c r="V17" s="28">
        <f t="shared" si="6"/>
        <v>5.8898627358661471E-2</v>
      </c>
      <c r="W17" s="28">
        <f t="shared" si="6"/>
        <v>3.4083278554111314E-2</v>
      </c>
    </row>
    <row r="18" spans="1:30" s="23" customFormat="1" x14ac:dyDescent="0.2"/>
    <row r="19" spans="1:30"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row>
    <row r="20" spans="1:30"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row>
    <row r="21" spans="1:30"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f t="shared" ref="T21:W21" si="7">T22-T16-T19-T20</f>
        <v>9.1298844353008448</v>
      </c>
      <c r="U21" s="19">
        <f t="shared" si="7"/>
        <v>4.1625896916867831</v>
      </c>
      <c r="V21" s="19">
        <f t="shared" si="7"/>
        <v>6.365929473972411</v>
      </c>
      <c r="W21" s="19">
        <f t="shared" si="7"/>
        <v>3.760004109245271</v>
      </c>
    </row>
    <row r="22" spans="1:30" s="22" customFormat="1" x14ac:dyDescent="0.2">
      <c r="A22" s="22" t="s">
        <v>23</v>
      </c>
      <c r="B22" s="20">
        <f t="shared" ref="B22" si="8">B16+B19+B20+B21</f>
        <v>17.5</v>
      </c>
      <c r="C22" s="20">
        <f t="shared" ref="C22:G22" si="9">C16+C19+C20+C21</f>
        <v>0.29999999999999982</v>
      </c>
      <c r="D22" s="20">
        <f t="shared" si="9"/>
        <v>5.5999999999999801</v>
      </c>
      <c r="E22" s="20">
        <f t="shared" si="9"/>
        <v>10.6</v>
      </c>
      <c r="F22" s="20">
        <f t="shared" si="9"/>
        <v>-5.8</v>
      </c>
      <c r="G22" s="20">
        <f t="shared" si="9"/>
        <v>-1.0999999999999996</v>
      </c>
      <c r="H22" s="20">
        <f t="shared" ref="H22" si="10">H16+H19+H20+H21</f>
        <v>37.5</v>
      </c>
      <c r="I22" s="20">
        <f t="shared" ref="I22:J22" si="11">I16+I19+I20+I21</f>
        <v>28</v>
      </c>
      <c r="J22" s="20">
        <f t="shared" si="11"/>
        <v>26.5</v>
      </c>
      <c r="K22" s="20">
        <f t="shared" ref="K22:L22" si="12">K16+K19+K20+K21</f>
        <v>11.2</v>
      </c>
      <c r="L22" s="20">
        <f t="shared" si="12"/>
        <v>29.563944000000003</v>
      </c>
      <c r="M22" s="20">
        <f t="shared" ref="M22:S22" si="13">M16+M19+M20+M21</f>
        <v>27.186221</v>
      </c>
      <c r="N22" s="20">
        <f t="shared" si="13"/>
        <v>24.086022</v>
      </c>
      <c r="O22" s="20">
        <f t="shared" si="13"/>
        <v>16.063813</v>
      </c>
      <c r="P22" s="20">
        <f t="shared" si="13"/>
        <v>21.009509000000001</v>
      </c>
      <c r="Q22" s="20">
        <f t="shared" si="13"/>
        <v>32.900491000000002</v>
      </c>
      <c r="R22" s="20">
        <f t="shared" si="13"/>
        <v>30.772466000000001</v>
      </c>
      <c r="S22" s="20">
        <f t="shared" si="13"/>
        <v>16.857498</v>
      </c>
      <c r="T22" s="20">
        <v>31.211884435300867</v>
      </c>
      <c r="U22" s="20">
        <v>34.172589691686746</v>
      </c>
      <c r="V22" s="20">
        <v>25.880929473972433</v>
      </c>
      <c r="W22" s="20">
        <v>13.404004109245284</v>
      </c>
      <c r="AA22" s="66"/>
      <c r="AC22" s="66"/>
    </row>
    <row r="23" spans="1:30" s="22" customFormat="1" x14ac:dyDescent="0.2">
      <c r="B23" s="20"/>
      <c r="C23" s="20"/>
      <c r="D23" s="20"/>
      <c r="E23" s="20"/>
      <c r="F23" s="20"/>
      <c r="G23" s="20"/>
      <c r="H23" s="20"/>
      <c r="I23" s="20"/>
      <c r="J23" s="20"/>
      <c r="K23" s="20"/>
      <c r="L23" s="20"/>
      <c r="M23" s="20"/>
      <c r="N23" s="20"/>
      <c r="O23" s="20"/>
      <c r="P23" s="20"/>
      <c r="Q23" s="20"/>
      <c r="R23" s="20"/>
      <c r="S23" s="20"/>
      <c r="T23" s="20"/>
      <c r="U23" s="20"/>
      <c r="V23" s="20"/>
      <c r="W23" s="20"/>
      <c r="AA23" s="66"/>
      <c r="AC23" s="66"/>
    </row>
    <row r="24" spans="1:30" s="22" customFormat="1" x14ac:dyDescent="0.2">
      <c r="A24" s="22" t="s">
        <v>27</v>
      </c>
      <c r="B24" s="20">
        <f t="shared" ref="B24:T24" si="14">SUM(B22:E22)</f>
        <v>33.999999999999979</v>
      </c>
      <c r="C24" s="20">
        <f t="shared" si="14"/>
        <v>10.699999999999978</v>
      </c>
      <c r="D24" s="20">
        <f t="shared" si="14"/>
        <v>9.2999999999999812</v>
      </c>
      <c r="E24" s="20">
        <f t="shared" si="14"/>
        <v>41.2</v>
      </c>
      <c r="F24" s="20">
        <f t="shared" si="14"/>
        <v>58.6</v>
      </c>
      <c r="G24" s="20">
        <f t="shared" si="14"/>
        <v>90.9</v>
      </c>
      <c r="H24" s="20">
        <f t="shared" si="14"/>
        <v>103.2</v>
      </c>
      <c r="I24" s="20">
        <f t="shared" si="14"/>
        <v>95.263944000000009</v>
      </c>
      <c r="J24" s="20">
        <f t="shared" si="14"/>
        <v>94.450165000000013</v>
      </c>
      <c r="K24" s="20">
        <f t="shared" si="14"/>
        <v>92.036186999999998</v>
      </c>
      <c r="L24" s="20">
        <f t="shared" si="14"/>
        <v>96.899999999999991</v>
      </c>
      <c r="M24" s="20">
        <f t="shared" si="14"/>
        <v>88.345564999999993</v>
      </c>
      <c r="N24" s="20">
        <f t="shared" si="14"/>
        <v>94.059834999999993</v>
      </c>
      <c r="O24" s="20">
        <f t="shared" si="14"/>
        <v>100.74627900000002</v>
      </c>
      <c r="P24" s="20">
        <f t="shared" si="14"/>
        <v>101.539964</v>
      </c>
      <c r="Q24" s="20">
        <f t="shared" si="14"/>
        <v>111.74233943530086</v>
      </c>
      <c r="R24" s="20">
        <f t="shared" si="14"/>
        <v>113.01443812698761</v>
      </c>
      <c r="S24" s="20">
        <f t="shared" si="14"/>
        <v>108.12290160096003</v>
      </c>
      <c r="T24" s="20">
        <f t="shared" si="14"/>
        <v>104.66940771020532</v>
      </c>
      <c r="U24" s="20"/>
      <c r="V24" s="20"/>
      <c r="W24" s="20"/>
      <c r="AA24" s="66"/>
      <c r="AC24" s="66"/>
    </row>
    <row r="25" spans="1:30" s="23" customFormat="1" x14ac:dyDescent="0.2">
      <c r="A25" s="15" t="s">
        <v>26</v>
      </c>
      <c r="B25" s="27">
        <f>34-B24</f>
        <v>0</v>
      </c>
      <c r="C25" s="27">
        <f>27.727-C24</f>
        <v>17.027000000000022</v>
      </c>
      <c r="D25" s="27">
        <f>31.827-D24</f>
        <v>22.527000000000022</v>
      </c>
      <c r="E25" s="27">
        <f>67.4-E24</f>
        <v>26.200000000000003</v>
      </c>
      <c r="F25" s="27">
        <f>84.8-F24</f>
        <v>26.199999999999996</v>
      </c>
      <c r="G25" s="27">
        <f>123.3-G24</f>
        <v>32.399999999999991</v>
      </c>
      <c r="H25" s="27">
        <f>130.4-H24</f>
        <v>27.200000000000003</v>
      </c>
      <c r="I25" s="27">
        <f>122.627756-I24</f>
        <v>27.363811999999996</v>
      </c>
      <c r="J25" s="27">
        <f>121.813977-J24</f>
        <v>27.363811999999982</v>
      </c>
      <c r="K25" s="27">
        <f>L27+39.9-47-K26-K24</f>
        <v>27.363813000000007</v>
      </c>
      <c r="L25" s="27">
        <f>126.5-L24</f>
        <v>29.600000000000009</v>
      </c>
      <c r="M25" s="27">
        <f>N25+7.556728-7.677578</f>
        <v>30.377903</v>
      </c>
      <c r="N25" s="27">
        <f>O25+7.570816-7.925</f>
        <v>30.498752999999997</v>
      </c>
      <c r="O25" s="27">
        <f>P25+7.616638-7.925</f>
        <v>30.852937000000001</v>
      </c>
      <c r="P25" s="27">
        <f>7.925+7.925+7.677578+7.633721</f>
        <v>31.161299</v>
      </c>
      <c r="Q25" s="27">
        <f>Q27-Q24-Q26</f>
        <v>9.072669000000019</v>
      </c>
      <c r="R25" s="27">
        <f>R27-R24-R26</f>
        <v>11.631828000000013</v>
      </c>
      <c r="S25" s="27">
        <f>S27-S24-S26</f>
        <v>13.536383000000015</v>
      </c>
      <c r="T25" s="27">
        <f>T27-T24-T26</f>
        <v>14.900000000000006</v>
      </c>
      <c r="U25" s="27"/>
      <c r="V25" s="27"/>
      <c r="W25" s="27"/>
      <c r="X25" s="72"/>
      <c r="AA25" s="67"/>
      <c r="AC25" s="67"/>
    </row>
    <row r="26" spans="1:30"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c r="V26" s="21"/>
      <c r="W26" s="26"/>
      <c r="X26" s="72"/>
      <c r="AA26" s="67"/>
      <c r="AC26" s="67"/>
    </row>
    <row r="27" spans="1:30" s="24" customFormat="1" x14ac:dyDescent="0.2">
      <c r="A27" s="22" t="s">
        <v>24</v>
      </c>
      <c r="B27" s="63">
        <f t="shared" ref="B27:C27" si="15">B24+B25+B26</f>
        <v>33.999999999999979</v>
      </c>
      <c r="C27" s="63">
        <f t="shared" si="15"/>
        <v>27.727</v>
      </c>
      <c r="D27" s="63">
        <f t="shared" ref="D27" si="16">D24+D25+D26</f>
        <v>31.827000000000005</v>
      </c>
      <c r="E27" s="63">
        <f t="shared" ref="E27:F27" si="17">E24+E25+E26</f>
        <v>67.400000000000006</v>
      </c>
      <c r="F27" s="63">
        <f t="shared" si="17"/>
        <v>84.8</v>
      </c>
      <c r="G27" s="63">
        <f t="shared" ref="G27" si="18">G24+G25+G26</f>
        <v>123.3</v>
      </c>
      <c r="H27" s="63">
        <f t="shared" ref="H27:I27" si="19">H24+H25+H26</f>
        <v>130.4</v>
      </c>
      <c r="I27" s="63">
        <f t="shared" si="19"/>
        <v>122.62775600000001</v>
      </c>
      <c r="J27" s="63">
        <f t="shared" ref="J27:P27" si="20">J24+J25+J26</f>
        <v>121.81397699999999</v>
      </c>
      <c r="K27" s="63">
        <f t="shared" si="20"/>
        <v>119.4</v>
      </c>
      <c r="L27" s="63">
        <f t="shared" si="20"/>
        <v>126.5</v>
      </c>
      <c r="M27" s="63">
        <f t="shared" si="20"/>
        <v>118.723468</v>
      </c>
      <c r="N27" s="63">
        <f t="shared" si="20"/>
        <v>124.55858799999999</v>
      </c>
      <c r="O27" s="63">
        <f t="shared" si="20"/>
        <v>131.59921600000001</v>
      </c>
      <c r="P27" s="63">
        <f t="shared" si="20"/>
        <v>132.70126299999998</v>
      </c>
      <c r="Q27" s="61">
        <v>120.81500843530088</v>
      </c>
      <c r="R27" s="61">
        <v>124.64626612698763</v>
      </c>
      <c r="S27" s="61">
        <v>121.65928460096005</v>
      </c>
      <c r="T27" s="61">
        <v>119.56940771020533</v>
      </c>
      <c r="U27" s="20"/>
      <c r="V27" s="20"/>
      <c r="W27" s="25"/>
    </row>
    <row r="28" spans="1:30" s="23" customFormat="1" x14ac:dyDescent="0.2">
      <c r="B28" s="20"/>
      <c r="C28" s="20"/>
      <c r="D28" s="20"/>
      <c r="E28" s="20"/>
      <c r="F28" s="20"/>
      <c r="G28" s="20"/>
      <c r="H28" s="20"/>
      <c r="I28" s="20"/>
      <c r="J28" s="20"/>
      <c r="K28" s="20"/>
      <c r="L28" s="20"/>
      <c r="M28" s="20"/>
      <c r="N28" s="20"/>
      <c r="O28" s="20"/>
      <c r="P28" s="20"/>
      <c r="X28" s="24"/>
      <c r="Y28" s="68"/>
      <c r="Z28" s="24"/>
      <c r="AA28" s="68"/>
      <c r="AB28" s="24"/>
      <c r="AC28" s="24"/>
      <c r="AD28" s="24"/>
    </row>
    <row r="29" spans="1:30" s="22" customFormat="1" x14ac:dyDescent="0.2">
      <c r="A29" s="22" t="s">
        <v>23</v>
      </c>
      <c r="B29" s="20">
        <f t="shared" ref="B29:C29" si="21">B22</f>
        <v>17.5</v>
      </c>
      <c r="C29" s="20">
        <f t="shared" si="21"/>
        <v>0.29999999999999982</v>
      </c>
      <c r="D29" s="20">
        <f t="shared" ref="D29:E29" si="22">D22</f>
        <v>5.5999999999999801</v>
      </c>
      <c r="E29" s="20">
        <f t="shared" si="22"/>
        <v>10.6</v>
      </c>
      <c r="F29" s="20">
        <f t="shared" ref="F29:I29" si="23">F22</f>
        <v>-5.8</v>
      </c>
      <c r="G29" s="20">
        <f t="shared" si="23"/>
        <v>-1.0999999999999996</v>
      </c>
      <c r="H29" s="20">
        <f t="shared" si="23"/>
        <v>37.5</v>
      </c>
      <c r="I29" s="20">
        <f t="shared" si="23"/>
        <v>28</v>
      </c>
      <c r="J29" s="20">
        <f t="shared" ref="J29:W29" si="24">J22</f>
        <v>26.5</v>
      </c>
      <c r="K29" s="20">
        <f t="shared" si="24"/>
        <v>11.2</v>
      </c>
      <c r="L29" s="20">
        <f t="shared" si="24"/>
        <v>29.563944000000003</v>
      </c>
      <c r="M29" s="20">
        <f t="shared" si="24"/>
        <v>27.186221</v>
      </c>
      <c r="N29" s="20">
        <f t="shared" si="24"/>
        <v>24.086022</v>
      </c>
      <c r="O29" s="20">
        <f t="shared" si="24"/>
        <v>16.063813</v>
      </c>
      <c r="P29" s="20">
        <f t="shared" si="24"/>
        <v>21.009509000000001</v>
      </c>
      <c r="Q29" s="20">
        <f t="shared" si="24"/>
        <v>32.900491000000002</v>
      </c>
      <c r="R29" s="20">
        <f t="shared" si="24"/>
        <v>30.772466000000001</v>
      </c>
      <c r="S29" s="20">
        <f t="shared" si="24"/>
        <v>16.857498</v>
      </c>
      <c r="T29" s="20">
        <f t="shared" si="24"/>
        <v>31.211884435300867</v>
      </c>
      <c r="U29" s="20">
        <f t="shared" si="24"/>
        <v>34.172589691686746</v>
      </c>
      <c r="V29" s="20">
        <f t="shared" si="24"/>
        <v>25.880929473972433</v>
      </c>
      <c r="W29" s="20">
        <f t="shared" si="24"/>
        <v>13.404004109245284</v>
      </c>
      <c r="Y29" s="66"/>
      <c r="AA29" s="66"/>
      <c r="AC29" s="66"/>
    </row>
    <row r="30" spans="1:30" s="11" customFormat="1" x14ac:dyDescent="0.2">
      <c r="A30" s="19" t="s">
        <v>22</v>
      </c>
      <c r="B30" s="19">
        <v>-17.497</v>
      </c>
      <c r="C30" s="19">
        <v>-12.811</v>
      </c>
      <c r="D30" s="19">
        <v>-17.677000000000007</v>
      </c>
      <c r="E30" s="19">
        <v>-21.82</v>
      </c>
      <c r="F30" s="19">
        <v>-17.22</v>
      </c>
      <c r="G30" s="19">
        <v>-43.804000000000002</v>
      </c>
      <c r="H30" s="19">
        <v>-13.627999999999986</v>
      </c>
      <c r="I30" s="19">
        <v>-18.286000000000001</v>
      </c>
      <c r="J30" s="19">
        <f>-44.778-K30</f>
        <v>-24.166999999999998</v>
      </c>
      <c r="K30" s="19">
        <v>-20.611000000000001</v>
      </c>
      <c r="L30" s="19">
        <f>-66.313-M30-N30-O30</f>
        <v>-19.767000000000003</v>
      </c>
      <c r="M30" s="19">
        <f>-16.735+1.133</f>
        <v>-15.602</v>
      </c>
      <c r="N30" s="19">
        <f>-30.944-O30</f>
        <v>-16.250041</v>
      </c>
      <c r="O30" s="19">
        <v>-14.693959</v>
      </c>
      <c r="P30" s="19">
        <f>-9.362-20.774-S30-R30-Q30</f>
        <v>10.201145999999998</v>
      </c>
      <c r="Q30" s="19">
        <f>-18.025351-5.115198</f>
        <v>-23.140549</v>
      </c>
      <c r="R30" s="19">
        <f>-17.196597-S30</f>
        <v>-9.0825969999999998</v>
      </c>
      <c r="S30" s="19">
        <v>-8.1140000000000008</v>
      </c>
      <c r="T30" s="19">
        <v>-6.8109999999999999</v>
      </c>
      <c r="U30" s="19">
        <v>-7.5310000000000006</v>
      </c>
      <c r="V30" s="19">
        <v>-5.8719999999999999</v>
      </c>
      <c r="W30" s="19">
        <v>-5.8209999999999997</v>
      </c>
    </row>
    <row r="31" spans="1:30" s="11" customFormat="1" x14ac:dyDescent="0.2">
      <c r="A31" s="19" t="s">
        <v>21</v>
      </c>
      <c r="B31" s="19">
        <v>0</v>
      </c>
      <c r="C31" s="19">
        <v>0</v>
      </c>
      <c r="D31" s="19">
        <v>0</v>
      </c>
      <c r="E31" s="19">
        <v>0</v>
      </c>
      <c r="F31" s="19">
        <v>0</v>
      </c>
      <c r="G31" s="19">
        <v>0</v>
      </c>
      <c r="H31" s="19">
        <f>-0.643-I31-J31-K31</f>
        <v>-2.4730000000000016</v>
      </c>
      <c r="I31" s="19">
        <f>10.005-14.684</f>
        <v>-4.6789999999999985</v>
      </c>
      <c r="J31" s="19">
        <f>6.509-K31</f>
        <v>2.8720000000000008</v>
      </c>
      <c r="K31" s="19">
        <v>3.6369999999999996</v>
      </c>
      <c r="L31" s="19">
        <f>-0.676-M31-N31-O31</f>
        <v>-14.937000000000001</v>
      </c>
      <c r="M31" s="19">
        <v>4.4260000000000002</v>
      </c>
      <c r="N31" s="19">
        <f>9.835-O31</f>
        <v>4.2880000000000011</v>
      </c>
      <c r="O31" s="19">
        <v>5.5469999999999997</v>
      </c>
      <c r="P31" s="19">
        <f>-0.253-0.55-S31-R31-Q31</f>
        <v>14.686240999999999</v>
      </c>
      <c r="Q31" s="19">
        <f>-10.806241-3.106</f>
        <v>-13.912241</v>
      </c>
      <c r="R31" s="19">
        <f>-1.577-S31</f>
        <v>-3.2290000000000001</v>
      </c>
      <c r="S31" s="19">
        <v>1.6519999999999999</v>
      </c>
      <c r="T31" s="19">
        <v>-3.2680000000000007</v>
      </c>
      <c r="U31" s="19">
        <v>-5.3</v>
      </c>
      <c r="V31" s="19">
        <v>-2.0510000000000002</v>
      </c>
      <c r="W31" s="19">
        <v>1.335</v>
      </c>
    </row>
    <row r="32" spans="1:30" s="11" customFormat="1" x14ac:dyDescent="0.2">
      <c r="A32" s="19" t="s">
        <v>20</v>
      </c>
      <c r="B32" s="19">
        <v>-18.997000000000003</v>
      </c>
      <c r="C32" s="19">
        <v>18.881999999999998</v>
      </c>
      <c r="D32" s="19">
        <v>-11.594000000000008</v>
      </c>
      <c r="E32" s="19">
        <v>-15.083000000000002</v>
      </c>
      <c r="F32" s="19">
        <v>110.56299999999999</v>
      </c>
      <c r="G32" s="19">
        <f>24.044-4.186-27.149+21.753-0.01+0.67+9.125-6.648+8.008</f>
        <v>25.606999999999999</v>
      </c>
      <c r="H32" s="19">
        <f>2.624+2.746+17.613+0.707+0.497-16.334-3.256+7.062-I32-J32-K32</f>
        <v>26.655000000000008</v>
      </c>
      <c r="I32" s="19">
        <f>-9.574-2.291+10.059-11.723+4.628+0.346-16.316+10.73-2.071+4.051</f>
        <v>-12.161000000000003</v>
      </c>
      <c r="J32" s="19">
        <f>-17.012-6.965-0.061+2.676-1.328+0.893+8.145+0.682+9.367+0.021</f>
        <v>-3.5819999999999999</v>
      </c>
      <c r="K32" s="19">
        <v>0.74700000000000166</v>
      </c>
      <c r="L32" s="19">
        <f>-47.132-0.55-25.313-8.449+3.673-4.77+32.464-3.662+14.575-3.974-M32-N32-O32</f>
        <v>-3.7087749999999913</v>
      </c>
      <c r="M32" s="19">
        <f>-19.908-0.829-11.369-11.213-2.62+0.155+0.188-5.338+1.725+2.371</f>
        <v>-46.837999999999994</v>
      </c>
      <c r="N32" s="19">
        <f>-19.161-0.27-5.458+3.581-2.192-3.81+11.784+2.656+4.559+7.956</f>
        <v>-0.35499999999999954</v>
      </c>
      <c r="O32" s="19">
        <f>SUM({6.886834;2.182205;-9.187743;0.214564;12.419887;-1.653799;10.346041;9.139832;-14.32314;-2.576601;-5.684305})</f>
        <v>7.7637749999999937</v>
      </c>
      <c r="P32" s="19">
        <f>7.64+1.333-1.815-6.435-0.011-0.866-2.559+18.462-8.131-3.251-37.949-1.18-7.729+11.402-2.201-1.862+11.443+19.592+4.183+1.703-S32-R32-Q32</f>
        <v>31.954197999999998</v>
      </c>
      <c r="Q32" s="19">
        <f>SUM({-31.433512;4.482801;8.256967;-0.037642;-5.840509;2.398867;5.91018;-8.482655;-1.29486;9.076079;-3.344555},{5.96291;-1.356384;0.310495;-1.916144;-3.44521;-0.623617;-9.503197;4.666392;9.230442;-6.047083;-3.118732})</f>
        <v>-26.148967000000003</v>
      </c>
      <c r="R32" s="19">
        <v>0.99576900000000002</v>
      </c>
      <c r="S32" s="19">
        <v>-5.032</v>
      </c>
      <c r="T32" s="19">
        <v>-7.5009999999999994</v>
      </c>
      <c r="U32" s="19">
        <v>-20.926000000000005</v>
      </c>
      <c r="V32" s="19">
        <v>-3.9240000000000013</v>
      </c>
      <c r="W32" s="19">
        <v>-4.6000000000002927E-2</v>
      </c>
    </row>
    <row r="33" spans="1:25"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row>
    <row r="34" spans="1:25"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row>
    <row r="35" spans="1:25" s="20" customFormat="1" x14ac:dyDescent="0.2">
      <c r="A35" s="20" t="s">
        <v>17</v>
      </c>
      <c r="B35" s="20">
        <v>-19.170999999999999</v>
      </c>
      <c r="C35" s="20">
        <v>-5.1870000000000003</v>
      </c>
      <c r="D35" s="20">
        <v>-36.197999999999993</v>
      </c>
      <c r="E35" s="20">
        <v>-24.686</v>
      </c>
      <c r="F35" s="20">
        <v>85.073999999999998</v>
      </c>
      <c r="G35" s="20">
        <v>-0.76600000000000001</v>
      </c>
      <c r="H35" s="20">
        <f>15.625-I35-J35-K35</f>
        <v>35.541000000000004</v>
      </c>
      <c r="I35" s="20">
        <v>-13.249000000000001</v>
      </c>
      <c r="J35" s="20">
        <v>-0.2</v>
      </c>
      <c r="K35" s="20">
        <v>-6.4669999999999996</v>
      </c>
      <c r="L35" s="20">
        <f>-37.683-M35-N35-O35</f>
        <v>-15.084</v>
      </c>
      <c r="M35" s="20">
        <v>-40.832000000000001</v>
      </c>
      <c r="N35" s="20">
        <v>6.3239999999999998</v>
      </c>
      <c r="O35" s="20">
        <v>11.909000000000001</v>
      </c>
      <c r="P35" s="20">
        <f>10.04+4.671-S35-R35-Q35</f>
        <v>46.512930999999995</v>
      </c>
      <c r="Q35" s="20">
        <f>-41.768588-5.990244</f>
        <v>-47.758831999999998</v>
      </c>
      <c r="R35" s="20">
        <v>15.104901</v>
      </c>
      <c r="S35" s="20">
        <v>0.85199999999999998</v>
      </c>
      <c r="T35" s="20">
        <v>13.472999999999999</v>
      </c>
      <c r="U35" s="20">
        <v>-5.2380000000000004</v>
      </c>
      <c r="V35" s="20">
        <v>6.39</v>
      </c>
      <c r="W35" s="20">
        <v>4.5609999999999999</v>
      </c>
    </row>
    <row r="36" spans="1:25" s="11" customFormat="1" x14ac:dyDescent="0.2">
      <c r="A36" s="19" t="s">
        <v>16</v>
      </c>
      <c r="B36" s="21">
        <v>-0.69599999999999995</v>
      </c>
      <c r="C36" s="21">
        <v>-1.1879999999999999</v>
      </c>
      <c r="D36" s="21">
        <v>-1.3280000000000003</v>
      </c>
      <c r="E36" s="21">
        <v>-0.88600000000000001</v>
      </c>
      <c r="F36" s="21">
        <v>-0.73899999999999999</v>
      </c>
      <c r="G36" s="21">
        <v>-1.6439999999999999</v>
      </c>
      <c r="H36" s="21">
        <f>-11.174-I36-J36-K36</f>
        <v>-2.0179999999999993</v>
      </c>
      <c r="I36" s="21">
        <v>-4.1120000000000001</v>
      </c>
      <c r="J36" s="21">
        <v>-3.214</v>
      </c>
      <c r="K36" s="21">
        <v>-1.83</v>
      </c>
      <c r="L36" s="21">
        <f>-9.551-M36-N36-O36</f>
        <v>-2.8409999999999993</v>
      </c>
      <c r="M36" s="21">
        <v>-2.6560000000000001</v>
      </c>
      <c r="N36" s="21">
        <v>-2.2589999999999999</v>
      </c>
      <c r="O36" s="21">
        <v>-1.7949999999999999</v>
      </c>
      <c r="P36" s="21">
        <f>-7.393-16.096-S36-R36-Q36</f>
        <v>-6.0503140000000037</v>
      </c>
      <c r="Q36" s="21">
        <f>-4.357564-1.320103</f>
        <v>-5.6776669999999996</v>
      </c>
      <c r="R36" s="21">
        <v>-5.7330189999999996</v>
      </c>
      <c r="S36" s="21">
        <v>-6.0279999999999996</v>
      </c>
      <c r="T36" s="21">
        <v>-5.6339999999999986</v>
      </c>
      <c r="U36" s="21">
        <v>-5.2290000000000001</v>
      </c>
      <c r="V36" s="21">
        <v>-4.3369999999999997</v>
      </c>
      <c r="W36" s="21">
        <v>-2.7610000000000001</v>
      </c>
    </row>
    <row r="37" spans="1:25" s="20" customFormat="1" x14ac:dyDescent="0.2">
      <c r="A37" s="20" t="s">
        <v>15</v>
      </c>
      <c r="B37" s="20">
        <f t="shared" ref="B37:W37" si="25">+B35+B36</f>
        <v>-19.867000000000001</v>
      </c>
      <c r="C37" s="20">
        <f t="shared" si="25"/>
        <v>-6.375</v>
      </c>
      <c r="D37" s="20">
        <f t="shared" si="25"/>
        <v>-37.525999999999996</v>
      </c>
      <c r="E37" s="20">
        <f t="shared" si="25"/>
        <v>-25.571999999999999</v>
      </c>
      <c r="F37" s="20">
        <f t="shared" si="25"/>
        <v>84.334999999999994</v>
      </c>
      <c r="G37" s="20">
        <f t="shared" si="25"/>
        <v>-2.41</v>
      </c>
      <c r="H37" s="20">
        <f t="shared" si="25"/>
        <v>33.523000000000003</v>
      </c>
      <c r="I37" s="20">
        <f t="shared" si="25"/>
        <v>-17.361000000000001</v>
      </c>
      <c r="J37" s="20">
        <f t="shared" si="25"/>
        <v>-3.4140000000000001</v>
      </c>
      <c r="K37" s="20">
        <f t="shared" si="25"/>
        <v>-8.2970000000000006</v>
      </c>
      <c r="L37" s="20">
        <f t="shared" si="25"/>
        <v>-17.924999999999997</v>
      </c>
      <c r="M37" s="20">
        <f t="shared" si="25"/>
        <v>-43.488</v>
      </c>
      <c r="N37" s="20">
        <f t="shared" si="25"/>
        <v>4.0649999999999995</v>
      </c>
      <c r="O37" s="20">
        <f t="shared" si="25"/>
        <v>10.114000000000001</v>
      </c>
      <c r="P37" s="20">
        <f t="shared" si="25"/>
        <v>40.462616999999995</v>
      </c>
      <c r="Q37" s="20">
        <f t="shared" si="25"/>
        <v>-53.436498999999998</v>
      </c>
      <c r="R37" s="20">
        <f t="shared" si="25"/>
        <v>9.3718819999999994</v>
      </c>
      <c r="S37" s="20">
        <f t="shared" si="25"/>
        <v>-5.1759999999999993</v>
      </c>
      <c r="T37" s="20">
        <f t="shared" si="25"/>
        <v>7.8390000000000004</v>
      </c>
      <c r="U37" s="20">
        <f t="shared" si="25"/>
        <v>-10.467000000000001</v>
      </c>
      <c r="V37" s="20">
        <f t="shared" si="25"/>
        <v>2.0529999999999999</v>
      </c>
      <c r="W37" s="20">
        <f t="shared" si="25"/>
        <v>1.7999999999999998</v>
      </c>
    </row>
    <row r="38" spans="1:25" x14ac:dyDescent="0.2">
      <c r="Y38" s="69"/>
    </row>
    <row r="39" spans="1:25" s="16" customFormat="1" x14ac:dyDescent="0.2">
      <c r="A39" s="18" t="s">
        <v>14</v>
      </c>
      <c r="B39" s="19">
        <v>50.1</v>
      </c>
      <c r="C39" s="19">
        <v>50.2</v>
      </c>
      <c r="D39" s="19">
        <v>70.462999999999994</v>
      </c>
      <c r="E39" s="19">
        <v>68.893000000000001</v>
      </c>
      <c r="F39" s="19">
        <v>131.5</v>
      </c>
      <c r="G39" s="19">
        <v>180</v>
      </c>
      <c r="H39" s="19">
        <v>185.61700000000002</v>
      </c>
      <c r="I39" s="19">
        <v>108</v>
      </c>
      <c r="J39" s="19">
        <v>93.2</v>
      </c>
      <c r="K39" s="19">
        <v>85</v>
      </c>
      <c r="L39" s="19">
        <v>77</v>
      </c>
      <c r="M39" s="19">
        <v>58.6</v>
      </c>
      <c r="N39" s="19">
        <v>14</v>
      </c>
      <c r="O39" s="19">
        <v>20</v>
      </c>
      <c r="P39" s="19">
        <v>0</v>
      </c>
      <c r="Q39" s="19">
        <v>0</v>
      </c>
      <c r="R39" s="19">
        <v>0</v>
      </c>
      <c r="S39" s="19">
        <v>0</v>
      </c>
      <c r="T39" s="19">
        <v>0</v>
      </c>
      <c r="U39" s="19"/>
      <c r="V39" s="19"/>
      <c r="W39" s="19"/>
    </row>
    <row r="40" spans="1:25" s="16" customFormat="1" x14ac:dyDescent="0.2">
      <c r="A40" s="18" t="s">
        <v>13</v>
      </c>
      <c r="B40" s="19">
        <f>735.2-B39</f>
        <v>685.1</v>
      </c>
      <c r="C40" s="19">
        <f>736.3-C39</f>
        <v>686.09999999999991</v>
      </c>
      <c r="D40" s="19">
        <f>765.013-D39</f>
        <v>694.55000000000007</v>
      </c>
      <c r="E40" s="19">
        <f>756.468-E39</f>
        <v>687.57499999999993</v>
      </c>
      <c r="F40" s="19">
        <f>709.312-F39</f>
        <v>577.81200000000001</v>
      </c>
      <c r="G40" s="19">
        <f>570.5+6.382+2.392</f>
        <v>579.274</v>
      </c>
      <c r="H40" s="19">
        <f>571.9+7.267</f>
        <v>579.16700000000003</v>
      </c>
      <c r="I40" s="19">
        <f>574.8+6.736</f>
        <v>581.53599999999994</v>
      </c>
      <c r="J40" s="19">
        <f>574.8+7.431</f>
        <v>582.23099999999999</v>
      </c>
      <c r="K40" s="19">
        <f>576.3+6.893</f>
        <v>583.19299999999998</v>
      </c>
      <c r="L40" s="19">
        <f>577.8+7.267</f>
        <v>585.06700000000001</v>
      </c>
      <c r="M40" s="19">
        <f>579.2+7.234</f>
        <v>586.43400000000008</v>
      </c>
      <c r="N40" s="19">
        <f>580.7+7.234</f>
        <v>587.93400000000008</v>
      </c>
      <c r="O40" s="19">
        <f>P40+25-1.4625-0.513996</f>
        <v>581.62350400000003</v>
      </c>
      <c r="P40" s="19">
        <v>558.6</v>
      </c>
      <c r="Q40" s="19">
        <v>560</v>
      </c>
      <c r="R40" s="19">
        <v>560</v>
      </c>
      <c r="S40" s="19">
        <f>436.459+6.963</f>
        <v>443.42200000000003</v>
      </c>
      <c r="T40" s="19">
        <f>358.959+6.963</f>
        <v>365.92200000000003</v>
      </c>
      <c r="U40" s="19"/>
      <c r="V40" s="19"/>
      <c r="W40" s="19"/>
    </row>
    <row r="41" spans="1:25" s="16" customFormat="1" x14ac:dyDescent="0.2">
      <c r="A41" s="18" t="s">
        <v>12</v>
      </c>
      <c r="B41" s="19">
        <f t="shared" ref="B41:C41" si="26">B39+B40+235</f>
        <v>970.2</v>
      </c>
      <c r="C41" s="19">
        <f t="shared" si="26"/>
        <v>971.3</v>
      </c>
      <c r="D41" s="19">
        <f t="shared" ref="D41" si="27">D39+D40+235</f>
        <v>1000.013</v>
      </c>
      <c r="E41" s="19">
        <f t="shared" ref="E41:F41" si="28">E39+E40+235</f>
        <v>991.46799999999996</v>
      </c>
      <c r="F41" s="19">
        <f t="shared" si="28"/>
        <v>944.31200000000001</v>
      </c>
      <c r="G41" s="19">
        <f t="shared" ref="G41:L41" si="29">G39+G40+235</f>
        <v>994.274</v>
      </c>
      <c r="H41" s="19">
        <f t="shared" si="29"/>
        <v>999.78400000000011</v>
      </c>
      <c r="I41" s="19">
        <f t="shared" si="29"/>
        <v>924.53599999999994</v>
      </c>
      <c r="J41" s="19">
        <f t="shared" si="29"/>
        <v>910.43100000000004</v>
      </c>
      <c r="K41" s="19">
        <f t="shared" si="29"/>
        <v>903.19299999999998</v>
      </c>
      <c r="L41" s="19">
        <f t="shared" si="29"/>
        <v>897.06700000000001</v>
      </c>
      <c r="M41" s="19">
        <f t="shared" ref="M41:R41" si="30">M39+M40+235</f>
        <v>880.03400000000011</v>
      </c>
      <c r="N41" s="19">
        <f t="shared" si="30"/>
        <v>836.93400000000008</v>
      </c>
      <c r="O41" s="19">
        <f t="shared" si="30"/>
        <v>836.62350400000003</v>
      </c>
      <c r="P41" s="19">
        <f t="shared" si="30"/>
        <v>793.6</v>
      </c>
      <c r="Q41" s="19">
        <f t="shared" si="30"/>
        <v>795</v>
      </c>
      <c r="R41" s="19">
        <f t="shared" si="30"/>
        <v>795</v>
      </c>
      <c r="S41" s="19">
        <f>S39+S40+105</f>
        <v>548.42200000000003</v>
      </c>
      <c r="T41" s="19">
        <f>T39+T40+105</f>
        <v>470.92200000000003</v>
      </c>
      <c r="U41" s="19"/>
      <c r="V41" s="19"/>
      <c r="W41" s="19"/>
    </row>
    <row r="42" spans="1:25" s="16" customFormat="1" x14ac:dyDescent="0.2">
      <c r="A42" s="18" t="s">
        <v>11</v>
      </c>
      <c r="B42" s="17">
        <v>555</v>
      </c>
      <c r="C42" s="17">
        <v>555</v>
      </c>
      <c r="D42" s="17">
        <v>555</v>
      </c>
      <c r="E42" s="17">
        <v>555</v>
      </c>
      <c r="F42" s="17">
        <v>555</v>
      </c>
      <c r="G42" s="17">
        <v>555</v>
      </c>
      <c r="H42" s="17">
        <v>555</v>
      </c>
      <c r="I42" s="17">
        <v>555</v>
      </c>
      <c r="J42" s="17">
        <v>555</v>
      </c>
      <c r="K42" s="17">
        <v>555</v>
      </c>
      <c r="L42" s="17">
        <v>555</v>
      </c>
      <c r="M42" s="17">
        <v>555</v>
      </c>
      <c r="N42" s="17">
        <v>555</v>
      </c>
      <c r="O42" s="17">
        <v>555</v>
      </c>
      <c r="P42" s="17">
        <v>555</v>
      </c>
      <c r="Q42" s="17">
        <v>555</v>
      </c>
      <c r="R42" s="17">
        <v>555</v>
      </c>
      <c r="S42" s="17">
        <v>555</v>
      </c>
      <c r="T42" s="17">
        <v>555</v>
      </c>
      <c r="U42" s="17"/>
      <c r="V42" s="17"/>
      <c r="W42" s="17"/>
    </row>
    <row r="43" spans="1:25" x14ac:dyDescent="0.2">
      <c r="B43" s="16"/>
      <c r="C43" s="16"/>
      <c r="D43" s="16"/>
      <c r="E43" s="16"/>
      <c r="F43" s="16"/>
      <c r="G43" s="16"/>
      <c r="H43" s="16"/>
      <c r="I43" s="16"/>
      <c r="J43" s="16"/>
      <c r="K43" s="16"/>
      <c r="L43" s="16"/>
      <c r="M43" s="16"/>
      <c r="N43" s="16"/>
      <c r="O43" s="16"/>
      <c r="P43" s="16"/>
      <c r="Q43" s="16"/>
      <c r="R43" s="16"/>
      <c r="S43" s="16"/>
      <c r="T43" s="16"/>
    </row>
    <row r="44" spans="1:25" x14ac:dyDescent="0.2">
      <c r="A44" s="15" t="s">
        <v>10</v>
      </c>
      <c r="B44" s="27">
        <v>74.708999999999975</v>
      </c>
      <c r="C44" s="27">
        <v>96.790999999999983</v>
      </c>
      <c r="D44" s="27">
        <v>125.54799999999999</v>
      </c>
      <c r="E44" s="27">
        <v>159.23399999999998</v>
      </c>
      <c r="F44" s="27">
        <v>140.50799999999998</v>
      </c>
      <c r="G44" s="27">
        <v>105.548</v>
      </c>
      <c r="H44" s="27">
        <v>4.299000000000019</v>
      </c>
      <c r="I44" s="27">
        <v>6.4610000000000003</v>
      </c>
      <c r="J44" s="27">
        <v>9.5470000000000006</v>
      </c>
      <c r="K44" s="27">
        <v>7.173</v>
      </c>
      <c r="L44" s="27">
        <v>9.4510000000000005</v>
      </c>
      <c r="M44" s="27">
        <v>10.821318</v>
      </c>
      <c r="N44" s="27">
        <v>12.365534999999999</v>
      </c>
      <c r="O44" s="27">
        <v>16.337295999999998</v>
      </c>
      <c r="P44" s="27">
        <v>15.585633</v>
      </c>
      <c r="Q44" s="27">
        <v>22.171431999999999</v>
      </c>
      <c r="R44" s="27">
        <v>10</v>
      </c>
      <c r="S44" s="27">
        <v>3.8754209999999998</v>
      </c>
      <c r="T44" s="27">
        <v>4.4576770000000003</v>
      </c>
      <c r="U44" s="27"/>
      <c r="V44" s="27"/>
      <c r="W44" s="27"/>
    </row>
    <row r="45" spans="1:25" x14ac:dyDescent="0.2">
      <c r="O45" s="12"/>
    </row>
    <row r="46" spans="1:25" x14ac:dyDescent="0.2">
      <c r="A46" s="1" t="s">
        <v>9</v>
      </c>
      <c r="B46" s="13">
        <f t="shared" ref="B46:P46" si="31">SUM(B12:E12)</f>
        <v>1504.5520000000001</v>
      </c>
      <c r="C46" s="13">
        <f t="shared" si="31"/>
        <v>1350.2489999999998</v>
      </c>
      <c r="D46" s="13">
        <f t="shared" si="31"/>
        <v>1411.1859999999999</v>
      </c>
      <c r="E46" s="13">
        <f t="shared" si="31"/>
        <v>1577.087</v>
      </c>
      <c r="F46" s="13">
        <f t="shared" si="31"/>
        <v>1764.038</v>
      </c>
      <c r="G46" s="13">
        <f t="shared" si="31"/>
        <v>2029.6910000000003</v>
      </c>
      <c r="H46" s="13">
        <f t="shared" si="31"/>
        <v>2086.3100000000004</v>
      </c>
      <c r="I46" s="13">
        <f t="shared" si="31"/>
        <v>2082.95489</v>
      </c>
      <c r="J46" s="13">
        <f t="shared" si="31"/>
        <v>2057.8060310000001</v>
      </c>
      <c r="K46" s="13">
        <f t="shared" si="31"/>
        <v>2002.0235349999998</v>
      </c>
      <c r="L46" s="13">
        <f t="shared" si="31"/>
        <v>1969.5</v>
      </c>
      <c r="M46" s="13">
        <f t="shared" si="31"/>
        <v>1923.1515810000001</v>
      </c>
      <c r="N46" s="13">
        <f t="shared" si="31"/>
        <v>1891.8336979999999</v>
      </c>
      <c r="O46" s="13">
        <f t="shared" si="31"/>
        <v>1875.3353550000002</v>
      </c>
      <c r="P46" s="13">
        <f t="shared" si="31"/>
        <v>1856.2904170000002</v>
      </c>
      <c r="Q46" s="11">
        <f t="shared" ref="Q46:T46" si="32">SUM(Q12:T12)</f>
        <v>1772.0219460000001</v>
      </c>
      <c r="R46" s="11">
        <f t="shared" si="32"/>
        <v>1697.5076880000001</v>
      </c>
      <c r="S46" s="11">
        <f t="shared" si="32"/>
        <v>1550.7135269999999</v>
      </c>
      <c r="T46" s="11">
        <f t="shared" si="32"/>
        <v>1423.1859999999999</v>
      </c>
      <c r="U46" s="11"/>
      <c r="V46" s="11"/>
    </row>
    <row r="47" spans="1:25" x14ac:dyDescent="0.2">
      <c r="A47" s="1" t="s">
        <v>8</v>
      </c>
      <c r="B47" s="11">
        <f t="shared" ref="B47:C47" si="33">+B27</f>
        <v>33.999999999999979</v>
      </c>
      <c r="C47" s="11">
        <f t="shared" si="33"/>
        <v>27.727</v>
      </c>
      <c r="D47" s="11">
        <f t="shared" ref="D47:E47" si="34">+D27</f>
        <v>31.827000000000005</v>
      </c>
      <c r="E47" s="11">
        <f t="shared" si="34"/>
        <v>67.400000000000006</v>
      </c>
      <c r="F47" s="11">
        <f t="shared" ref="F47:G47" si="35">+F27</f>
        <v>84.8</v>
      </c>
      <c r="G47" s="11">
        <f t="shared" si="35"/>
        <v>123.3</v>
      </c>
      <c r="H47" s="11">
        <f t="shared" ref="H47" si="36">+H27</f>
        <v>130.4</v>
      </c>
      <c r="I47" s="11">
        <f t="shared" ref="I47:J47" si="37">+I27</f>
        <v>122.62775600000001</v>
      </c>
      <c r="J47" s="11">
        <f t="shared" si="37"/>
        <v>121.81397699999999</v>
      </c>
      <c r="K47" s="11">
        <f t="shared" ref="K47:L47" si="38">+K27</f>
        <v>119.4</v>
      </c>
      <c r="L47" s="11">
        <f t="shared" si="38"/>
        <v>126.5</v>
      </c>
      <c r="M47" s="11">
        <f t="shared" ref="M47:T47" si="39">+M27</f>
        <v>118.723468</v>
      </c>
      <c r="N47" s="11">
        <f t="shared" si="39"/>
        <v>124.55858799999999</v>
      </c>
      <c r="O47" s="11">
        <f t="shared" si="39"/>
        <v>131.59921600000001</v>
      </c>
      <c r="P47" s="11">
        <f t="shared" si="39"/>
        <v>132.70126299999998</v>
      </c>
      <c r="Q47" s="11">
        <f t="shared" si="39"/>
        <v>120.81500843530088</v>
      </c>
      <c r="R47" s="11">
        <f t="shared" si="39"/>
        <v>124.64626612698763</v>
      </c>
      <c r="S47" s="11">
        <f>+S27</f>
        <v>121.65928460096005</v>
      </c>
      <c r="T47" s="11">
        <f t="shared" si="39"/>
        <v>119.56940771020533</v>
      </c>
      <c r="U47" s="11"/>
      <c r="V47" s="11"/>
    </row>
    <row r="48" spans="1:25" x14ac:dyDescent="0.2">
      <c r="A48" s="1" t="s">
        <v>7</v>
      </c>
      <c r="B48" s="11">
        <f t="shared" ref="B48:T48" si="40">+SUM(B37:E37)</f>
        <v>-89.34</v>
      </c>
      <c r="C48" s="11">
        <f t="shared" si="40"/>
        <v>14.861999999999995</v>
      </c>
      <c r="D48" s="11">
        <f t="shared" si="40"/>
        <v>18.826999999999995</v>
      </c>
      <c r="E48" s="11">
        <f t="shared" si="40"/>
        <v>89.876000000000005</v>
      </c>
      <c r="F48" s="11">
        <f t="shared" si="40"/>
        <v>98.087000000000003</v>
      </c>
      <c r="G48" s="11">
        <f t="shared" si="40"/>
        <v>10.338000000000003</v>
      </c>
      <c r="H48" s="11">
        <f t="shared" si="40"/>
        <v>4.4510000000000023</v>
      </c>
      <c r="I48" s="11">
        <f t="shared" si="40"/>
        <v>-46.997</v>
      </c>
      <c r="J48" s="11">
        <f t="shared" si="40"/>
        <v>-73.123999999999995</v>
      </c>
      <c r="K48" s="11">
        <f t="shared" si="40"/>
        <v>-65.644999999999996</v>
      </c>
      <c r="L48" s="11">
        <f t="shared" si="40"/>
        <v>-47.233999999999995</v>
      </c>
      <c r="M48" s="11">
        <f t="shared" si="40"/>
        <v>11.153616999999993</v>
      </c>
      <c r="N48" s="11">
        <f t="shared" si="40"/>
        <v>1.2051179999999988</v>
      </c>
      <c r="O48" s="11">
        <f t="shared" si="40"/>
        <v>6.5120000000000005</v>
      </c>
      <c r="P48" s="11">
        <f t="shared" si="40"/>
        <v>-8.7780000000000022</v>
      </c>
      <c r="Q48" s="11">
        <f t="shared" si="40"/>
        <v>-41.401617000000002</v>
      </c>
      <c r="R48" s="11">
        <f t="shared" si="40"/>
        <v>1.5678819999999991</v>
      </c>
      <c r="S48" s="11">
        <f t="shared" si="40"/>
        <v>-5.7509999999999994</v>
      </c>
      <c r="T48" s="11">
        <f t="shared" si="40"/>
        <v>1.2249999999999996</v>
      </c>
      <c r="U48" s="11"/>
      <c r="V48" s="11"/>
    </row>
    <row r="50" spans="1:23" s="10" customFormat="1" x14ac:dyDescent="0.2">
      <c r="A50" s="10" t="s">
        <v>6</v>
      </c>
      <c r="B50" s="10">
        <f t="shared" ref="B50:C50" si="41">+SUM(B39:B40)/B47</f>
        <v>21.623529411764721</v>
      </c>
      <c r="C50" s="10">
        <f t="shared" si="41"/>
        <v>26.555343167309839</v>
      </c>
      <c r="D50" s="10">
        <f t="shared" ref="D50:E50" si="42">+SUM(D39:D40)/D47</f>
        <v>24.036604141138024</v>
      </c>
      <c r="E50" s="10">
        <f t="shared" si="42"/>
        <v>11.223560830860533</v>
      </c>
      <c r="F50" s="10">
        <f t="shared" ref="F50:G50" si="43">+SUM(F39:F40)/F47</f>
        <v>8.3645283018867929</v>
      </c>
      <c r="G50" s="10">
        <f t="shared" si="43"/>
        <v>6.1579399837794</v>
      </c>
      <c r="H50" s="10">
        <f t="shared" ref="H50" si="44">+SUM(H39:H40)/H47</f>
        <v>5.864907975460123</v>
      </c>
      <c r="I50" s="10">
        <f t="shared" ref="I50:J50" si="45">+SUM(I39:I40)/I47</f>
        <v>5.6230010439072204</v>
      </c>
      <c r="J50" s="10">
        <f t="shared" si="45"/>
        <v>5.5447742257031809</v>
      </c>
      <c r="K50" s="10">
        <f t="shared" ref="K50:L50" si="46">+SUM(K39:K40)/K47</f>
        <v>5.5962562814070349</v>
      </c>
      <c r="L50" s="10">
        <f t="shared" si="46"/>
        <v>5.2337312252964425</v>
      </c>
      <c r="M50" s="10">
        <f t="shared" ref="M50:N50" si="47">+SUM(M39:M40)/M47</f>
        <v>5.4330791617374263</v>
      </c>
      <c r="N50" s="10">
        <f t="shared" si="47"/>
        <v>4.8325371189981707</v>
      </c>
      <c r="O50" s="10">
        <f t="shared" ref="O50:T50" si="48">+SUM(O39:O40)/O47</f>
        <v>4.5716344085210965</v>
      </c>
      <c r="P50" s="10">
        <f t="shared" si="48"/>
        <v>4.2094550373646413</v>
      </c>
      <c r="Q50" s="10">
        <f t="shared" si="48"/>
        <v>4.6351857045963989</v>
      </c>
      <c r="R50" s="10">
        <f t="shared" si="48"/>
        <v>4.4927138004236804</v>
      </c>
      <c r="S50" s="10">
        <f t="shared" si="48"/>
        <v>3.6447855291473648</v>
      </c>
      <c r="T50" s="10">
        <f t="shared" si="48"/>
        <v>3.060331292155162</v>
      </c>
    </row>
    <row r="51" spans="1:23" s="10" customFormat="1" x14ac:dyDescent="0.2">
      <c r="A51" s="10" t="s">
        <v>5</v>
      </c>
      <c r="B51" s="10">
        <f t="shared" ref="B51:C51" si="49">+B41/B47</f>
        <v>28.535294117647076</v>
      </c>
      <c r="C51" s="10">
        <f t="shared" si="49"/>
        <v>35.030836368882312</v>
      </c>
      <c r="D51" s="10">
        <f t="shared" ref="D51:E51" si="50">+D41/D47</f>
        <v>31.420272096019101</v>
      </c>
      <c r="E51" s="10">
        <f t="shared" si="50"/>
        <v>14.71020771513353</v>
      </c>
      <c r="F51" s="10">
        <f t="shared" ref="F51:G51" si="51">+F41/F47</f>
        <v>11.135754716981133</v>
      </c>
      <c r="G51" s="10">
        <f t="shared" si="51"/>
        <v>8.0638605028386046</v>
      </c>
      <c r="H51" s="10">
        <f t="shared" ref="H51" si="52">+H41/H47</f>
        <v>7.667055214723927</v>
      </c>
      <c r="I51" s="10">
        <f t="shared" ref="I51:J51" si="53">+I41/I47</f>
        <v>7.5393697981393375</v>
      </c>
      <c r="J51" s="10">
        <f t="shared" si="53"/>
        <v>7.4739452928295744</v>
      </c>
      <c r="K51" s="10">
        <f t="shared" ref="K51:L51" si="54">+K41/K47</f>
        <v>7.5644304857621432</v>
      </c>
      <c r="L51" s="10">
        <f t="shared" si="54"/>
        <v>7.0914387351778654</v>
      </c>
      <c r="M51" s="10">
        <f t="shared" ref="M51:T51" si="55">+M41/M47</f>
        <v>7.4124687799719604</v>
      </c>
      <c r="N51" s="10">
        <f t="shared" si="55"/>
        <v>6.7191994822548899</v>
      </c>
      <c r="O51" s="10">
        <f t="shared" si="55"/>
        <v>6.3573593325966318</v>
      </c>
      <c r="P51" s="10">
        <f t="shared" si="55"/>
        <v>5.9803500136995691</v>
      </c>
      <c r="Q51" s="10">
        <f t="shared" si="55"/>
        <v>6.5803082770609596</v>
      </c>
      <c r="R51" s="10">
        <f t="shared" si="55"/>
        <v>6.3780490559586172</v>
      </c>
      <c r="S51" s="10">
        <f t="shared" si="55"/>
        <v>4.5078515938903712</v>
      </c>
      <c r="T51" s="10">
        <f t="shared" si="55"/>
        <v>3.9384823343890036</v>
      </c>
    </row>
    <row r="52" spans="1:23" s="10" customFormat="1" x14ac:dyDescent="0.2">
      <c r="A52" s="10" t="s">
        <v>4</v>
      </c>
      <c r="B52" s="10">
        <f t="shared" ref="B52:C52" si="56">+(B41-B44)/B47</f>
        <v>26.337970588235315</v>
      </c>
      <c r="C52" s="10">
        <f t="shared" si="56"/>
        <v>31.539979081761459</v>
      </c>
      <c r="D52" s="10">
        <f t="shared" ref="D52:E52" si="57">+(D41-D44)/D47</f>
        <v>27.475571056021614</v>
      </c>
      <c r="E52" s="10">
        <f t="shared" si="57"/>
        <v>12.347685459940651</v>
      </c>
      <c r="F52" s="10">
        <f t="shared" ref="F52:G52" si="58">+(F41-F44)/F47</f>
        <v>9.4788207547169829</v>
      </c>
      <c r="G52" s="10">
        <f t="shared" si="58"/>
        <v>7.2078345498783456</v>
      </c>
      <c r="H52" s="10">
        <f t="shared" ref="H52" si="59">+(H41-H44)/H47</f>
        <v>7.6340874233128844</v>
      </c>
      <c r="I52" s="10">
        <f t="shared" ref="I52:J52" si="60">+(I41-I44)/I47</f>
        <v>7.4866818895389384</v>
      </c>
      <c r="J52" s="10">
        <f t="shared" si="60"/>
        <v>7.3955716920727417</v>
      </c>
      <c r="K52" s="10">
        <f t="shared" ref="K52:L52" si="61">+(K41-K44)/K47</f>
        <v>7.5043551088777214</v>
      </c>
      <c r="L52" s="10">
        <f t="shared" si="61"/>
        <v>7.0167272727272723</v>
      </c>
      <c r="M52" s="10">
        <f t="shared" ref="M52:T52" si="62">+(M41-M44)/M47</f>
        <v>7.3213215267599843</v>
      </c>
      <c r="N52" s="10">
        <f t="shared" si="62"/>
        <v>6.619924633378151</v>
      </c>
      <c r="O52" s="10">
        <f t="shared" si="62"/>
        <v>6.2332150063872716</v>
      </c>
      <c r="P52" s="10">
        <f t="shared" si="62"/>
        <v>5.862900995900846</v>
      </c>
      <c r="Q52" s="10">
        <f t="shared" si="62"/>
        <v>6.396792733030904</v>
      </c>
      <c r="R52" s="10">
        <f t="shared" si="62"/>
        <v>6.2978220238081946</v>
      </c>
      <c r="S52" s="10">
        <f t="shared" si="62"/>
        <v>4.4759968857790149</v>
      </c>
      <c r="T52" s="10">
        <f t="shared" si="62"/>
        <v>3.9012012514986054</v>
      </c>
    </row>
    <row r="53" spans="1:23" s="6" customFormat="1" x14ac:dyDescent="0.2">
      <c r="A53" s="6" t="s">
        <v>3</v>
      </c>
      <c r="B53" s="6">
        <f t="shared" ref="B53:C53" si="63">+B48/B41</f>
        <v>-9.2084106369820659E-2</v>
      </c>
      <c r="C53" s="6">
        <f t="shared" si="63"/>
        <v>1.5301142798311537E-2</v>
      </c>
      <c r="D53" s="6">
        <f t="shared" ref="D53:E53" si="64">+D48/D41</f>
        <v>1.8826755252181717E-2</v>
      </c>
      <c r="E53" s="6">
        <f t="shared" si="64"/>
        <v>9.064942085876701E-2</v>
      </c>
      <c r="F53" s="6">
        <f t="shared" ref="F53:G53" si="65">+F48/F41</f>
        <v>0.10387138996433383</v>
      </c>
      <c r="G53" s="6">
        <f t="shared" si="65"/>
        <v>1.0397536292812648E-2</v>
      </c>
      <c r="H53" s="6">
        <f t="shared" ref="H53" si="66">+H48/H41</f>
        <v>4.4519616237107236E-3</v>
      </c>
      <c r="I53" s="6">
        <f t="shared" ref="I53:J53" si="67">+I48/I41</f>
        <v>-5.0833066532833773E-2</v>
      </c>
      <c r="J53" s="6">
        <f t="shared" si="67"/>
        <v>-8.0318003231436536E-2</v>
      </c>
      <c r="K53" s="6">
        <f t="shared" ref="K53:L53" si="68">+K48/K41</f>
        <v>-7.2681032736081869E-2</v>
      </c>
      <c r="L53" s="6">
        <f t="shared" si="68"/>
        <v>-5.2653815155389722E-2</v>
      </c>
      <c r="M53" s="6">
        <f t="shared" ref="M53:T53" si="69">+M48/M41</f>
        <v>1.2674075092553234E-2</v>
      </c>
      <c r="N53" s="6">
        <f t="shared" si="69"/>
        <v>1.4399199936912573E-3</v>
      </c>
      <c r="O53" s="6">
        <f t="shared" si="69"/>
        <v>7.7836684827348578E-3</v>
      </c>
      <c r="P53" s="6">
        <f t="shared" si="69"/>
        <v>-1.106098790322581E-2</v>
      </c>
      <c r="Q53" s="6">
        <f t="shared" si="69"/>
        <v>-5.207750566037736E-2</v>
      </c>
      <c r="R53" s="6">
        <f t="shared" si="69"/>
        <v>1.9721786163522E-3</v>
      </c>
      <c r="S53" s="6">
        <f t="shared" si="69"/>
        <v>-1.0486450215345116E-2</v>
      </c>
      <c r="T53" s="6">
        <f t="shared" si="69"/>
        <v>2.6012800421301185E-3</v>
      </c>
    </row>
    <row r="54" spans="1:23" s="6" customFormat="1" x14ac:dyDescent="0.2">
      <c r="A54" s="8" t="s">
        <v>2</v>
      </c>
      <c r="B54" s="9"/>
      <c r="C54" s="9"/>
      <c r="D54" s="9"/>
      <c r="E54" s="9"/>
      <c r="F54" s="9"/>
      <c r="G54" s="9"/>
      <c r="H54" s="9"/>
      <c r="I54" s="9"/>
      <c r="J54" s="9"/>
      <c r="K54" s="9"/>
      <c r="L54" s="9"/>
      <c r="M54" s="9"/>
      <c r="N54" s="9"/>
      <c r="O54" s="9"/>
      <c r="P54" s="9"/>
      <c r="Q54" s="9"/>
      <c r="R54" s="9"/>
      <c r="S54" s="9"/>
      <c r="T54" s="9"/>
      <c r="U54" s="9"/>
      <c r="V54" s="9"/>
      <c r="W54" s="8"/>
    </row>
    <row r="55" spans="1:23" s="6" customFormat="1" x14ac:dyDescent="0.2">
      <c r="A55" s="6" t="s">
        <v>1</v>
      </c>
      <c r="B55" s="7">
        <f t="shared" ref="B55:C55" si="70">IF(B42=0,IF(B54="","","*"&amp;TEXT(B54,"0.0x")),(B41+B42-B44)/B47)</f>
        <v>42.661500000000025</v>
      </c>
      <c r="C55" s="7">
        <f t="shared" si="70"/>
        <v>51.556569408879433</v>
      </c>
      <c r="D55" s="7">
        <f t="shared" ref="D55:E55" si="71">IF(D42=0,IF(D54="","","*"&amp;TEXT(D54,"0.0x")),(D41+D42-D44)/D47)</f>
        <v>44.913595374996063</v>
      </c>
      <c r="E55" s="7">
        <f t="shared" si="71"/>
        <v>20.582106824925813</v>
      </c>
      <c r="F55" s="7">
        <f t="shared" ref="F55:G55" si="72">IF(F42=0,IF(F54="","","*"&amp;TEXT(F54,"0.0x")),(F41+F42-F44)/F47)</f>
        <v>16.023632075471696</v>
      </c>
      <c r="G55" s="7">
        <f t="shared" si="72"/>
        <v>11.70905109489051</v>
      </c>
      <c r="H55" s="7">
        <f t="shared" ref="H55" si="73">IF(H42=0,IF(H54="","","*"&amp;TEXT(H54,"0.0x")),(H41+H42-H44)/H47)</f>
        <v>11.890222392638037</v>
      </c>
      <c r="I55" s="7">
        <f t="shared" ref="I55:J55" si="74">IF(I42=0,IF(I54="","","*"&amp;TEXT(I54,"0.0x")),(I41+I42-I44)/I47)</f>
        <v>12.012574053789258</v>
      </c>
      <c r="J55" s="7">
        <f t="shared" si="74"/>
        <v>11.951699105924439</v>
      </c>
      <c r="K55" s="7">
        <f t="shared" ref="K55:L55" si="75">IF(K42=0,IF(K54="","","*"&amp;TEXT(K54,"0.0x")),(K41+K42-K44)/K47)</f>
        <v>12.152596314907871</v>
      </c>
      <c r="L55" s="7">
        <f t="shared" si="75"/>
        <v>11.404079051383398</v>
      </c>
      <c r="M55" s="7">
        <f t="shared" ref="M55:V55" si="76">IF(M42=0,IF(M54="","","*"&amp;TEXT(M54,"0.0x")),(M41+M42-M44)/M47)</f>
        <v>11.996050199611757</v>
      </c>
      <c r="N55" s="7">
        <f t="shared" si="76"/>
        <v>11.075659150856788</v>
      </c>
      <c r="O55" s="7">
        <f t="shared" si="76"/>
        <v>10.450565358991197</v>
      </c>
      <c r="P55" s="7">
        <f t="shared" si="76"/>
        <v>10.045227429372696</v>
      </c>
      <c r="Q55" s="7">
        <f t="shared" si="76"/>
        <v>10.99059285097912</v>
      </c>
      <c r="R55" s="7">
        <f t="shared" si="76"/>
        <v>10.750422308156663</v>
      </c>
      <c r="S55" s="7">
        <f t="shared" si="76"/>
        <v>9.0379175137063328</v>
      </c>
      <c r="T55" s="7">
        <f t="shared" si="76"/>
        <v>8.5428567604489132</v>
      </c>
      <c r="U55" s="7" t="str">
        <f t="shared" si="76"/>
        <v/>
      </c>
      <c r="V55" s="7" t="str">
        <f t="shared" si="76"/>
        <v/>
      </c>
      <c r="W55" s="7" t="str">
        <f>IF(W42=0,IF(W54="","",CONCATENATE("* ",W54,"x")),(W41+W42-W44)/W47)</f>
        <v/>
      </c>
    </row>
    <row r="56" spans="1:23" x14ac:dyDescent="0.2">
      <c r="V56" s="3"/>
    </row>
    <row r="57" spans="1:23" ht="80.25" customHeight="1" x14ac:dyDescent="0.2">
      <c r="A57" s="5" t="s">
        <v>0</v>
      </c>
      <c r="B57" s="4" t="s">
        <v>104</v>
      </c>
      <c r="C57" s="4" t="s">
        <v>104</v>
      </c>
      <c r="D57" s="4" t="s">
        <v>104</v>
      </c>
      <c r="E57" s="4" t="s">
        <v>367</v>
      </c>
      <c r="F57" s="4" t="s">
        <v>367</v>
      </c>
      <c r="G57" s="4" t="s">
        <v>367</v>
      </c>
      <c r="H57" s="4" t="s">
        <v>367</v>
      </c>
      <c r="I57" s="4" t="s">
        <v>235</v>
      </c>
      <c r="J57" s="4" t="s">
        <v>235</v>
      </c>
      <c r="K57" s="4" t="s">
        <v>235</v>
      </c>
      <c r="L57" s="4" t="s">
        <v>235</v>
      </c>
      <c r="M57" s="4" t="s">
        <v>242</v>
      </c>
      <c r="N57" s="4"/>
      <c r="O57" s="4"/>
      <c r="P57" s="4"/>
      <c r="Q57" s="4"/>
      <c r="R57" s="4" t="s">
        <v>210</v>
      </c>
      <c r="S57" s="4"/>
      <c r="T57" s="4"/>
      <c r="U57" s="4"/>
      <c r="V57" s="4"/>
      <c r="W57" s="4"/>
    </row>
    <row r="58" spans="1:23" x14ac:dyDescent="0.2">
      <c r="A58" s="2"/>
      <c r="B58" s="3"/>
      <c r="C58" s="3"/>
      <c r="D58" s="3"/>
      <c r="E58" s="3"/>
      <c r="F58" s="3"/>
      <c r="G58" s="3"/>
      <c r="H58" s="3"/>
      <c r="I58" s="3"/>
      <c r="J58" s="3"/>
      <c r="K58" s="3"/>
      <c r="L58" s="3"/>
      <c r="M58" s="3"/>
      <c r="N58" s="3"/>
      <c r="O58" s="3"/>
      <c r="P58" s="3"/>
      <c r="Q58" s="3"/>
      <c r="R58" s="3"/>
    </row>
    <row r="59" spans="1:23" x14ac:dyDescent="0.2">
      <c r="A59" s="2"/>
    </row>
  </sheetData>
  <pageMargins left="0.7" right="0.7" top="0.75" bottom="0.75" header="0.3" footer="0.3"/>
  <pageSetup orientation="portrait" r:id="rId1"/>
  <ignoredErrors>
    <ignoredError sqref="M46:U54 E46:H48 C46:D47" formulaRange="1"/>
  </ignoredErrors>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2:V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2" width="10.7109375" style="1" customWidth="1"/>
    <col min="23" max="16384" width="9.140625" style="1"/>
  </cols>
  <sheetData>
    <row r="2" spans="1:22" x14ac:dyDescent="0.2">
      <c r="A2" s="34" t="s">
        <v>45</v>
      </c>
      <c r="B2" s="1" t="s">
        <v>207</v>
      </c>
    </row>
    <row r="3" spans="1:22" s="35" customFormat="1" x14ac:dyDescent="0.2">
      <c r="A3" s="36" t="s">
        <v>43</v>
      </c>
      <c r="B3" s="35" t="s">
        <v>206</v>
      </c>
    </row>
    <row r="4" spans="1:22" x14ac:dyDescent="0.2">
      <c r="A4" s="34" t="s">
        <v>41</v>
      </c>
      <c r="B4" s="1" t="s">
        <v>40</v>
      </c>
    </row>
    <row r="5" spans="1:22" x14ac:dyDescent="0.2">
      <c r="A5" s="34" t="s">
        <v>39</v>
      </c>
    </row>
    <row r="6" spans="1:22" x14ac:dyDescent="0.2">
      <c r="A6" s="34" t="s">
        <v>38</v>
      </c>
      <c r="B6" s="1">
        <v>3</v>
      </c>
    </row>
    <row r="7" spans="1:22" x14ac:dyDescent="0.2">
      <c r="A7" s="34" t="s">
        <v>37</v>
      </c>
      <c r="B7" s="1" t="s">
        <v>374</v>
      </c>
    </row>
    <row r="8" spans="1:22" x14ac:dyDescent="0.2">
      <c r="A8" s="34" t="s">
        <v>281</v>
      </c>
      <c r="B8" s="1" t="s">
        <v>296</v>
      </c>
    </row>
    <row r="9" spans="1:22" x14ac:dyDescent="0.2">
      <c r="A9" s="22"/>
    </row>
    <row r="10" spans="1:22"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c r="U10" s="33">
        <v>42643</v>
      </c>
      <c r="V10" s="33">
        <v>42551</v>
      </c>
    </row>
    <row r="11" spans="1:22" x14ac:dyDescent="0.2">
      <c r="B11" s="64"/>
      <c r="C11" s="64"/>
      <c r="D11" s="64"/>
      <c r="E11" s="64"/>
      <c r="F11" s="64"/>
      <c r="G11" s="64"/>
      <c r="H11" s="64"/>
      <c r="I11" s="64"/>
      <c r="J11" s="64"/>
      <c r="K11" s="64"/>
      <c r="L11" s="64"/>
      <c r="M11" s="64"/>
      <c r="N11" s="64"/>
      <c r="O11" s="64"/>
      <c r="P11" s="64"/>
      <c r="Q11" s="64"/>
      <c r="R11" s="64"/>
      <c r="S11" s="64"/>
      <c r="T11" s="64"/>
      <c r="U11" s="64"/>
      <c r="V11" s="64"/>
    </row>
    <row r="12" spans="1:22" x14ac:dyDescent="0.2">
      <c r="A12" s="15" t="s">
        <v>35</v>
      </c>
      <c r="B12" s="19">
        <v>489.39800000000002</v>
      </c>
      <c r="C12" s="19">
        <v>191.86799999999999</v>
      </c>
      <c r="D12" s="19">
        <v>251.53099999999995</v>
      </c>
      <c r="E12" s="19">
        <v>483.12200000000001</v>
      </c>
      <c r="F12" s="19">
        <v>483.29599999999999</v>
      </c>
      <c r="G12" s="19">
        <v>196.31299999999999</v>
      </c>
      <c r="H12" s="19">
        <f>1408.635-I12-J12-K12</f>
        <v>268.51</v>
      </c>
      <c r="I12" s="19">
        <v>484.62</v>
      </c>
      <c r="J12" s="19">
        <v>489.673</v>
      </c>
      <c r="K12" s="19">
        <v>165.83199999999999</v>
      </c>
      <c r="L12" s="19">
        <v>271.17599999999993</v>
      </c>
      <c r="M12" s="19">
        <v>471.935</v>
      </c>
      <c r="N12" s="19">
        <v>469.96699999999998</v>
      </c>
      <c r="O12" s="19">
        <v>156.011</v>
      </c>
      <c r="P12" s="19">
        <f>1347.222-Q12-R12-S12</f>
        <v>256.10199999999998</v>
      </c>
      <c r="Q12" s="19">
        <v>454.92099999999999</v>
      </c>
      <c r="R12" s="19">
        <v>474.60199999999998</v>
      </c>
      <c r="S12" s="19">
        <v>161.59700000000001</v>
      </c>
      <c r="T12" s="19">
        <v>261.767</v>
      </c>
      <c r="U12" s="19">
        <v>428.21199999999999</v>
      </c>
      <c r="V12" s="19">
        <v>460.21899999999999</v>
      </c>
    </row>
    <row r="13" spans="1:22" s="28" customFormat="1" x14ac:dyDescent="0.2">
      <c r="A13" s="28" t="s">
        <v>34</v>
      </c>
      <c r="B13" s="28">
        <f t="shared" ref="B13:R13" si="0">+B12/F12-1</f>
        <v>1.2625802820631638E-2</v>
      </c>
      <c r="C13" s="28">
        <f t="shared" si="0"/>
        <v>-2.2642412881469842E-2</v>
      </c>
      <c r="D13" s="28">
        <f t="shared" si="0"/>
        <v>-6.3234143979740254E-2</v>
      </c>
      <c r="E13" s="28">
        <f t="shared" si="0"/>
        <v>-3.0910816722380385E-3</v>
      </c>
      <c r="F13" s="28">
        <f t="shared" si="0"/>
        <v>-1.3022976557825361E-2</v>
      </c>
      <c r="G13" s="28">
        <f t="shared" si="0"/>
        <v>0.18380650296685808</v>
      </c>
      <c r="H13" s="28">
        <f t="shared" si="0"/>
        <v>-9.8312535032596404E-3</v>
      </c>
      <c r="I13" s="28">
        <f t="shared" si="0"/>
        <v>2.6878701516098724E-2</v>
      </c>
      <c r="J13" s="28">
        <f t="shared" si="0"/>
        <v>4.1930603638127728E-2</v>
      </c>
      <c r="K13" s="28">
        <f t="shared" si="0"/>
        <v>6.2950689374467128E-2</v>
      </c>
      <c r="L13" s="28">
        <f t="shared" si="0"/>
        <v>5.885936072346154E-2</v>
      </c>
      <c r="M13" s="28">
        <f t="shared" si="0"/>
        <v>3.7399900202452763E-2</v>
      </c>
      <c r="N13" s="28">
        <f t="shared" si="0"/>
        <v>-9.7660776819313844E-3</v>
      </c>
      <c r="O13" s="28">
        <f t="shared" si="0"/>
        <v>-3.4567473406065807E-2</v>
      </c>
      <c r="P13" s="28">
        <f t="shared" si="0"/>
        <v>-2.1641383367651423E-2</v>
      </c>
      <c r="Q13" s="28">
        <f t="shared" si="0"/>
        <v>6.2373310416335759E-2</v>
      </c>
      <c r="R13" s="28">
        <f t="shared" si="0"/>
        <v>3.1252512390840037E-2</v>
      </c>
    </row>
    <row r="14" spans="1:22"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c r="T14" s="32"/>
      <c r="U14" s="32"/>
      <c r="V14" s="31"/>
    </row>
    <row r="16" spans="1:22" s="22" customFormat="1" x14ac:dyDescent="0.2">
      <c r="A16" s="30" t="s">
        <v>31</v>
      </c>
      <c r="B16" s="29">
        <v>102.31200000000001</v>
      </c>
      <c r="C16" s="29">
        <v>-14.765000000000001</v>
      </c>
      <c r="D16" s="29">
        <v>13.27000000000001</v>
      </c>
      <c r="E16" s="29">
        <v>105.53399999999999</v>
      </c>
      <c r="F16" s="29">
        <v>113.70699999999995</v>
      </c>
      <c r="G16" s="29">
        <v>-17.198</v>
      </c>
      <c r="H16" s="29">
        <f>175.636+2.741+9.121-I16-J16-K16</f>
        <v>28.152000000000015</v>
      </c>
      <c r="I16" s="29">
        <v>97.757000000000005</v>
      </c>
      <c r="J16" s="29">
        <v>94.964999999999989</v>
      </c>
      <c r="K16" s="29">
        <v>-33.375999999999991</v>
      </c>
      <c r="L16" s="29">
        <f>171.376+3.137-M16-N16-O16</f>
        <v>19.680000000000028</v>
      </c>
      <c r="M16" s="29">
        <v>96.424000000000007</v>
      </c>
      <c r="N16" s="29">
        <v>95.566999999999979</v>
      </c>
      <c r="O16" s="29">
        <v>-37.158000000000008</v>
      </c>
      <c r="P16" s="29">
        <f>177.042-Q16-R16-S16</f>
        <v>24.987000000000005</v>
      </c>
      <c r="Q16" s="29">
        <v>91.462999999999994</v>
      </c>
      <c r="R16" s="29">
        <v>91.2</v>
      </c>
      <c r="S16" s="29">
        <v>-30.608000000000001</v>
      </c>
      <c r="T16" s="29">
        <v>30.084</v>
      </c>
      <c r="U16" s="29">
        <v>77.159000000000006</v>
      </c>
      <c r="V16" s="29">
        <v>86.186000000000007</v>
      </c>
    </row>
    <row r="17" spans="1:22" s="28" customFormat="1" x14ac:dyDescent="0.2">
      <c r="A17" s="28" t="s">
        <v>30</v>
      </c>
      <c r="B17" s="28">
        <f t="shared" ref="B17" si="1">+B16/B12</f>
        <v>0.20905684126212204</v>
      </c>
      <c r="C17" s="28">
        <f t="shared" ref="C17:D17" si="2">+C16/C12</f>
        <v>-7.6953947505576756E-2</v>
      </c>
      <c r="D17" s="28">
        <f t="shared" si="2"/>
        <v>5.2756916642481493E-2</v>
      </c>
      <c r="E17" s="28">
        <f t="shared" ref="E17:F17" si="3">+E16/E12</f>
        <v>0.2184417186549153</v>
      </c>
      <c r="F17" s="28">
        <f t="shared" si="3"/>
        <v>0.23527403495994165</v>
      </c>
      <c r="G17" s="28">
        <f t="shared" ref="G17:H17" si="4">+G16/G12</f>
        <v>-8.7604998140724255E-2</v>
      </c>
      <c r="H17" s="28">
        <f t="shared" si="4"/>
        <v>0.10484525715988237</v>
      </c>
      <c r="I17" s="28">
        <f t="shared" ref="I17:J17" si="5">+I16/I12</f>
        <v>0.20171887251867443</v>
      </c>
      <c r="J17" s="28">
        <f t="shared" si="5"/>
        <v>0.19393554474108229</v>
      </c>
      <c r="K17" s="28">
        <f t="shared" ref="K17:L17" si="6">+K16/K12</f>
        <v>-0.20126392976023924</v>
      </c>
      <c r="L17" s="28">
        <f t="shared" si="6"/>
        <v>7.2572794052571152E-2</v>
      </c>
      <c r="M17" s="28">
        <f t="shared" ref="M17:V17" si="7">+M16/M12</f>
        <v>0.2043162723680168</v>
      </c>
      <c r="N17" s="28">
        <f t="shared" si="7"/>
        <v>0.20334832020120558</v>
      </c>
      <c r="O17" s="28">
        <f t="shared" si="7"/>
        <v>-0.23817551326509034</v>
      </c>
      <c r="P17" s="28">
        <f t="shared" si="7"/>
        <v>9.7566594559980041E-2</v>
      </c>
      <c r="Q17" s="28">
        <f t="shared" si="7"/>
        <v>0.20105249043240472</v>
      </c>
      <c r="R17" s="28">
        <f t="shared" si="7"/>
        <v>0.19216101069949137</v>
      </c>
      <c r="S17" s="28">
        <f t="shared" si="7"/>
        <v>-0.18940945685872881</v>
      </c>
      <c r="T17" s="28">
        <f t="shared" si="7"/>
        <v>0.11492663322725935</v>
      </c>
      <c r="U17" s="28">
        <f t="shared" si="7"/>
        <v>0.18018878499434862</v>
      </c>
      <c r="V17" s="28">
        <f t="shared" si="7"/>
        <v>0.1872717119458345</v>
      </c>
    </row>
    <row r="18" spans="1:22" s="23" customFormat="1" x14ac:dyDescent="0.2"/>
    <row r="19" spans="1:22"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row>
    <row r="20" spans="1:22"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row>
    <row r="21" spans="1:22" s="23" customFormat="1" x14ac:dyDescent="0.2">
      <c r="A21" s="15" t="s">
        <v>18</v>
      </c>
      <c r="B21" s="19">
        <f t="shared" ref="B21" si="8">B22-B16-B19-B20</f>
        <v>2.2579999999999814</v>
      </c>
      <c r="C21" s="19">
        <f t="shared" ref="C21:D21" si="9">C22-C16-C19-C20</f>
        <v>2.375</v>
      </c>
      <c r="D21" s="19">
        <f t="shared" si="9"/>
        <v>6.3069999999999098</v>
      </c>
      <c r="E21" s="19">
        <f t="shared" ref="E21:G21" si="10">E22-E16-E19-E20</f>
        <v>2.3100000000000023</v>
      </c>
      <c r="F21" s="19">
        <f t="shared" si="10"/>
        <v>3.1830000000000496</v>
      </c>
      <c r="G21" s="19">
        <f t="shared" si="10"/>
        <v>2.4080000000000013</v>
      </c>
      <c r="H21" s="19">
        <f t="shared" ref="H21:O21" si="11">H22-H16-H19-H20</f>
        <v>3.2679999999999936</v>
      </c>
      <c r="I21" s="19">
        <f t="shared" si="11"/>
        <v>3.0939999999999941</v>
      </c>
      <c r="J21" s="19">
        <f t="shared" si="11"/>
        <v>3.0320000000000107</v>
      </c>
      <c r="K21" s="19">
        <f t="shared" si="11"/>
        <v>2.073999999999991</v>
      </c>
      <c r="L21" s="19">
        <f t="shared" si="11"/>
        <v>10.811999999999976</v>
      </c>
      <c r="M21" s="19">
        <f t="shared" si="11"/>
        <v>2.6499999999999915</v>
      </c>
      <c r="N21" s="19">
        <f t="shared" si="11"/>
        <v>1.9670000000000272</v>
      </c>
      <c r="O21" s="19">
        <f t="shared" si="11"/>
        <v>4.2680000000000078</v>
      </c>
      <c r="P21" s="19">
        <v>0</v>
      </c>
      <c r="Q21" s="19">
        <v>0</v>
      </c>
      <c r="R21" s="19">
        <v>0</v>
      </c>
      <c r="S21" s="19">
        <v>0</v>
      </c>
      <c r="T21" s="19">
        <v>0</v>
      </c>
      <c r="U21" s="19">
        <v>0</v>
      </c>
      <c r="V21" s="19">
        <v>0</v>
      </c>
    </row>
    <row r="22" spans="1:22" s="22" customFormat="1" x14ac:dyDescent="0.2">
      <c r="A22" s="22" t="s">
        <v>23</v>
      </c>
      <c r="B22" s="61">
        <v>104.57</v>
      </c>
      <c r="C22" s="61">
        <v>-12.39</v>
      </c>
      <c r="D22" s="61">
        <v>19.57699999999992</v>
      </c>
      <c r="E22" s="61">
        <v>107.84399999999999</v>
      </c>
      <c r="F22" s="61">
        <v>116.89</v>
      </c>
      <c r="G22" s="61">
        <v>-14.79</v>
      </c>
      <c r="H22" s="61">
        <f>198.966-I22-J22-K22</f>
        <v>31.420000000000009</v>
      </c>
      <c r="I22" s="61">
        <v>100.851</v>
      </c>
      <c r="J22" s="61">
        <v>97.997</v>
      </c>
      <c r="K22" s="61">
        <v>-31.302</v>
      </c>
      <c r="L22" s="61">
        <f>194.21-M22-N22-O22</f>
        <v>30.492000000000004</v>
      </c>
      <c r="M22" s="61">
        <v>99.073999999999998</v>
      </c>
      <c r="N22" s="61">
        <v>97.534000000000006</v>
      </c>
      <c r="O22" s="61">
        <v>-32.89</v>
      </c>
      <c r="P22" s="20">
        <f t="shared" ref="P22:V22" si="12">SUM(P16,P19:P21)</f>
        <v>24.987000000000005</v>
      </c>
      <c r="Q22" s="20">
        <f t="shared" si="12"/>
        <v>91.462999999999994</v>
      </c>
      <c r="R22" s="20">
        <f t="shared" si="12"/>
        <v>91.2</v>
      </c>
      <c r="S22" s="20">
        <f t="shared" si="12"/>
        <v>-30.608000000000001</v>
      </c>
      <c r="T22" s="20">
        <f t="shared" si="12"/>
        <v>30.084</v>
      </c>
      <c r="U22" s="20">
        <f t="shared" si="12"/>
        <v>77.159000000000006</v>
      </c>
      <c r="V22" s="20">
        <f t="shared" si="12"/>
        <v>86.186000000000007</v>
      </c>
    </row>
    <row r="23" spans="1:22" s="22" customFormat="1" x14ac:dyDescent="0.2">
      <c r="B23" s="73"/>
      <c r="C23" s="73"/>
      <c r="D23" s="73"/>
      <c r="E23" s="73"/>
      <c r="F23" s="73"/>
      <c r="G23" s="73"/>
      <c r="H23" s="73"/>
      <c r="I23" s="73"/>
      <c r="J23" s="73"/>
      <c r="K23" s="73"/>
      <c r="L23" s="73"/>
      <c r="M23" s="73"/>
      <c r="N23" s="73"/>
      <c r="O23" s="20"/>
      <c r="P23" s="20"/>
      <c r="Q23" s="20"/>
      <c r="R23" s="20"/>
      <c r="S23" s="20"/>
      <c r="T23" s="20"/>
      <c r="U23" s="20"/>
      <c r="V23" s="20"/>
    </row>
    <row r="24" spans="1:22" s="22" customFormat="1" x14ac:dyDescent="0.2">
      <c r="A24" s="22" t="s">
        <v>27</v>
      </c>
      <c r="B24" s="63">
        <f t="shared" ref="B24:S24" si="13">SUM(B22:E22)</f>
        <v>219.60099999999991</v>
      </c>
      <c r="C24" s="63">
        <f t="shared" si="13"/>
        <v>231.92099999999994</v>
      </c>
      <c r="D24" s="63">
        <f t="shared" si="13"/>
        <v>229.52099999999993</v>
      </c>
      <c r="E24" s="63">
        <f t="shared" si="13"/>
        <v>241.364</v>
      </c>
      <c r="F24" s="63">
        <f t="shared" si="13"/>
        <v>234.37100000000001</v>
      </c>
      <c r="G24" s="63">
        <f t="shared" si="13"/>
        <v>215.47800000000001</v>
      </c>
      <c r="H24" s="63">
        <f t="shared" si="13"/>
        <v>198.96600000000004</v>
      </c>
      <c r="I24" s="63">
        <f t="shared" si="13"/>
        <v>198.03800000000001</v>
      </c>
      <c r="J24" s="63">
        <f t="shared" si="13"/>
        <v>196.261</v>
      </c>
      <c r="K24" s="63">
        <f t="shared" si="13"/>
        <v>195.798</v>
      </c>
      <c r="L24" s="63">
        <f t="shared" si="13"/>
        <v>194.21000000000004</v>
      </c>
      <c r="M24" s="63">
        <f t="shared" si="13"/>
        <v>188.70500000000001</v>
      </c>
      <c r="N24" s="63">
        <f t="shared" si="13"/>
        <v>181.09399999999999</v>
      </c>
      <c r="O24" s="63">
        <f t="shared" si="13"/>
        <v>174.76</v>
      </c>
      <c r="P24" s="63">
        <f t="shared" si="13"/>
        <v>177.042</v>
      </c>
      <c r="Q24" s="63">
        <f t="shared" si="13"/>
        <v>182.13900000000001</v>
      </c>
      <c r="R24" s="63">
        <f t="shared" si="13"/>
        <v>167.83500000000001</v>
      </c>
      <c r="S24" s="20">
        <f t="shared" si="13"/>
        <v>162.82100000000003</v>
      </c>
      <c r="T24" s="61">
        <v>152.279</v>
      </c>
      <c r="U24" s="20"/>
      <c r="V24" s="20"/>
    </row>
    <row r="25" spans="1:22" s="23" customFormat="1" x14ac:dyDescent="0.2">
      <c r="A25" s="15" t="s">
        <v>26</v>
      </c>
      <c r="B25" s="27">
        <v>0</v>
      </c>
      <c r="C25" s="27">
        <v>0</v>
      </c>
      <c r="D25" s="27">
        <v>0</v>
      </c>
      <c r="E25" s="27">
        <v>0</v>
      </c>
      <c r="F25" s="27">
        <v>0</v>
      </c>
      <c r="G25" s="27">
        <v>0</v>
      </c>
      <c r="H25" s="27">
        <v>0</v>
      </c>
      <c r="I25" s="27">
        <v>0</v>
      </c>
      <c r="J25" s="27">
        <v>0</v>
      </c>
      <c r="K25" s="27">
        <v>0</v>
      </c>
      <c r="L25" s="27">
        <f>194.213-L24</f>
        <v>2.9999999999574811E-3</v>
      </c>
      <c r="M25" s="27">
        <v>0</v>
      </c>
      <c r="N25" s="27">
        <v>0</v>
      </c>
      <c r="O25" s="27">
        <v>0</v>
      </c>
      <c r="P25" s="27">
        <v>0</v>
      </c>
      <c r="Q25" s="27">
        <v>0</v>
      </c>
      <c r="R25" s="27">
        <v>0</v>
      </c>
      <c r="S25" s="27">
        <v>0</v>
      </c>
      <c r="T25" s="27">
        <v>0</v>
      </c>
      <c r="U25" s="27"/>
      <c r="V25" s="27"/>
    </row>
    <row r="26" spans="1:22"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c r="V26" s="21"/>
    </row>
    <row r="27" spans="1:22" s="24" customFormat="1" x14ac:dyDescent="0.2">
      <c r="A27" s="22" t="s">
        <v>24</v>
      </c>
      <c r="B27" s="20">
        <f t="shared" ref="B27:C27" si="14">SUM(B24:B26)</f>
        <v>219.60099999999991</v>
      </c>
      <c r="C27" s="20">
        <f t="shared" si="14"/>
        <v>231.92099999999994</v>
      </c>
      <c r="D27" s="20">
        <f t="shared" ref="D27:E27" si="15">SUM(D24:D26)</f>
        <v>229.52099999999993</v>
      </c>
      <c r="E27" s="20">
        <f t="shared" si="15"/>
        <v>241.364</v>
      </c>
      <c r="F27" s="20">
        <f t="shared" ref="F27:G27" si="16">SUM(F24:F26)</f>
        <v>234.37100000000001</v>
      </c>
      <c r="G27" s="20">
        <f t="shared" si="16"/>
        <v>215.47800000000001</v>
      </c>
      <c r="H27" s="20">
        <f t="shared" ref="H27:I27" si="17">SUM(H24:H26)</f>
        <v>198.96600000000004</v>
      </c>
      <c r="I27" s="20">
        <f t="shared" si="17"/>
        <v>198.03800000000001</v>
      </c>
      <c r="J27" s="20">
        <f t="shared" ref="J27:K27" si="18">SUM(J24:J26)</f>
        <v>196.261</v>
      </c>
      <c r="K27" s="20">
        <f t="shared" si="18"/>
        <v>195.798</v>
      </c>
      <c r="L27" s="20">
        <f t="shared" ref="L27:T27" si="19">SUM(L24:L26)</f>
        <v>194.21299999999999</v>
      </c>
      <c r="M27" s="20">
        <f t="shared" si="19"/>
        <v>188.70500000000001</v>
      </c>
      <c r="N27" s="20">
        <f t="shared" si="19"/>
        <v>181.09399999999999</v>
      </c>
      <c r="O27" s="20">
        <f t="shared" si="19"/>
        <v>174.76</v>
      </c>
      <c r="P27" s="20">
        <f t="shared" si="19"/>
        <v>177.042</v>
      </c>
      <c r="Q27" s="20">
        <f t="shared" si="19"/>
        <v>182.13900000000001</v>
      </c>
      <c r="R27" s="20">
        <f t="shared" si="19"/>
        <v>167.83500000000001</v>
      </c>
      <c r="S27" s="20">
        <f t="shared" si="19"/>
        <v>162.82100000000003</v>
      </c>
      <c r="T27" s="20">
        <f t="shared" si="19"/>
        <v>152.279</v>
      </c>
      <c r="U27" s="20"/>
      <c r="V27" s="20"/>
    </row>
    <row r="28" spans="1:22" s="23" customFormat="1" x14ac:dyDescent="0.2"/>
    <row r="29" spans="1:22" s="22" customFormat="1" x14ac:dyDescent="0.2">
      <c r="A29" s="22" t="s">
        <v>23</v>
      </c>
      <c r="B29" s="20">
        <f t="shared" ref="B29" si="20">B22</f>
        <v>104.57</v>
      </c>
      <c r="C29" s="20">
        <f t="shared" ref="C29:D29" si="21">C22</f>
        <v>-12.39</v>
      </c>
      <c r="D29" s="20">
        <f t="shared" si="21"/>
        <v>19.57699999999992</v>
      </c>
      <c r="E29" s="20">
        <f t="shared" ref="E29:F29" si="22">E22</f>
        <v>107.84399999999999</v>
      </c>
      <c r="F29" s="20">
        <f t="shared" si="22"/>
        <v>116.89</v>
      </c>
      <c r="G29" s="20">
        <f t="shared" ref="G29:I29" si="23">G22</f>
        <v>-14.79</v>
      </c>
      <c r="H29" s="20">
        <f t="shared" si="23"/>
        <v>31.420000000000009</v>
      </c>
      <c r="I29" s="20">
        <f t="shared" si="23"/>
        <v>100.851</v>
      </c>
      <c r="J29" s="20">
        <f t="shared" ref="J29:K29" si="24">J22</f>
        <v>97.997</v>
      </c>
      <c r="K29" s="20">
        <f t="shared" si="24"/>
        <v>-31.302</v>
      </c>
      <c r="L29" s="20">
        <f t="shared" ref="L29:T29" si="25">L22</f>
        <v>30.492000000000004</v>
      </c>
      <c r="M29" s="20">
        <f t="shared" si="25"/>
        <v>99.073999999999998</v>
      </c>
      <c r="N29" s="20">
        <f t="shared" si="25"/>
        <v>97.534000000000006</v>
      </c>
      <c r="O29" s="20">
        <f t="shared" si="25"/>
        <v>-32.89</v>
      </c>
      <c r="P29" s="20">
        <f t="shared" si="25"/>
        <v>24.987000000000005</v>
      </c>
      <c r="Q29" s="20">
        <f t="shared" si="25"/>
        <v>91.462999999999994</v>
      </c>
      <c r="R29" s="20">
        <f t="shared" si="25"/>
        <v>91.2</v>
      </c>
      <c r="S29" s="20">
        <f t="shared" si="25"/>
        <v>-30.608000000000001</v>
      </c>
      <c r="T29" s="20">
        <f t="shared" si="25"/>
        <v>30.084</v>
      </c>
      <c r="U29" s="20"/>
      <c r="V29" s="20"/>
    </row>
    <row r="30" spans="1:22" s="11" customFormat="1" x14ac:dyDescent="0.2">
      <c r="A30" s="19" t="s">
        <v>22</v>
      </c>
      <c r="B30" s="19">
        <v>-25.263999999999999</v>
      </c>
      <c r="C30" s="19">
        <v>-25.18</v>
      </c>
      <c r="D30" s="19">
        <v>-23.418999999999997</v>
      </c>
      <c r="E30" s="19">
        <v>-19.512</v>
      </c>
      <c r="F30" s="19">
        <v>-20.201000000000001</v>
      </c>
      <c r="G30" s="19">
        <v>-21.521999999999998</v>
      </c>
      <c r="H30" s="19">
        <f>-86.02-I30-J30-K30</f>
        <v>-20.817999999999991</v>
      </c>
      <c r="I30" s="19">
        <v>-22.377000000000002</v>
      </c>
      <c r="J30" s="19">
        <v>-22.753</v>
      </c>
      <c r="K30" s="19">
        <v>-20.072000000000003</v>
      </c>
      <c r="L30" s="19">
        <v>-20.176999999999992</v>
      </c>
      <c r="M30" s="19">
        <v>-19.603999999999999</v>
      </c>
      <c r="N30" s="19">
        <v>-19.234000000000002</v>
      </c>
      <c r="O30" s="19">
        <v>-18.43</v>
      </c>
      <c r="P30" s="19">
        <f>-64.603-Q30-R30-S30</f>
        <v>-16.902999999999988</v>
      </c>
      <c r="Q30" s="19">
        <f>-47.7-R30-S30</f>
        <v>-14.001000000000005</v>
      </c>
      <c r="R30" s="19">
        <f>-33.699-S30</f>
        <v>-16.946999999999999</v>
      </c>
      <c r="S30" s="19">
        <f>-16.752</f>
        <v>-16.751999999999999</v>
      </c>
      <c r="T30" s="19"/>
      <c r="U30" s="19"/>
      <c r="V30" s="19"/>
    </row>
    <row r="31" spans="1:22" s="11" customFormat="1" x14ac:dyDescent="0.2">
      <c r="A31" s="19" t="s">
        <v>21</v>
      </c>
      <c r="B31" s="19">
        <v>-1.1339999999999999</v>
      </c>
      <c r="C31" s="19">
        <v>0.54900000000000004</v>
      </c>
      <c r="D31" s="19">
        <v>0.96200000000000008</v>
      </c>
      <c r="E31" s="19">
        <v>-1.149</v>
      </c>
      <c r="F31" s="19">
        <v>-0.152</v>
      </c>
      <c r="G31" s="19">
        <v>-0.14599999999999999</v>
      </c>
      <c r="H31" s="19">
        <f>-0.397-I31-J31-K31</f>
        <v>0.16799999999999995</v>
      </c>
      <c r="I31" s="19">
        <v>-0.184</v>
      </c>
      <c r="J31" s="19">
        <v>-0.17599999999999999</v>
      </c>
      <c r="K31" s="19">
        <v>-0.20499999999999999</v>
      </c>
      <c r="L31" s="19">
        <v>0.64300000000000002</v>
      </c>
      <c r="M31" s="19">
        <v>-0.98099999999999998</v>
      </c>
      <c r="N31" s="19">
        <v>-2.5880000000000001</v>
      </c>
      <c r="O31" s="19">
        <v>2.645</v>
      </c>
      <c r="P31" s="19">
        <f>-0.623-Q31-R31-S31</f>
        <v>7.6999999999999957E-2</v>
      </c>
      <c r="Q31" s="19">
        <f>-0.7-R31-S31</f>
        <v>-0.43599999999999994</v>
      </c>
      <c r="R31" s="19">
        <f>-0.295+0.031-S31</f>
        <v>-0.10999999999999988</v>
      </c>
      <c r="S31" s="19">
        <f>-1.217+1.063</f>
        <v>-0.15400000000000014</v>
      </c>
      <c r="T31" s="19"/>
      <c r="U31" s="19"/>
      <c r="V31" s="19"/>
    </row>
    <row r="32" spans="1:22" s="11" customFormat="1" x14ac:dyDescent="0.2">
      <c r="A32" s="19" t="s">
        <v>20</v>
      </c>
      <c r="B32" s="19">
        <v>-45.134</v>
      </c>
      <c r="C32" s="19">
        <v>57.901000000000003</v>
      </c>
      <c r="D32" s="19">
        <v>79.702999999999989</v>
      </c>
      <c r="E32" s="19">
        <v>-131.51500000000001</v>
      </c>
      <c r="F32" s="19">
        <v>61.196000000000012</v>
      </c>
      <c r="G32" s="19">
        <v>60.682000000000002</v>
      </c>
      <c r="H32" s="19">
        <f>-7.787+0.928+7.262-4.144+3.961+0.204-I32-J32-K32</f>
        <v>52.546000000000006</v>
      </c>
      <c r="I32" s="19">
        <v>-79.827000000000027</v>
      </c>
      <c r="J32" s="19">
        <v>-47.09399999999998</v>
      </c>
      <c r="K32" s="19">
        <v>74.798999999999992</v>
      </c>
      <c r="L32" s="19">
        <v>28.560999999999996</v>
      </c>
      <c r="M32" s="19">
        <v>-68.217999999999989</v>
      </c>
      <c r="N32" s="19">
        <v>-42.105000000000011</v>
      </c>
      <c r="O32" s="19">
        <v>66.23</v>
      </c>
      <c r="P32" s="19">
        <f>8.273+6.123-14.561+17.528-12.687+0.647-Q32-R32-S32</f>
        <v>73.233000000000004</v>
      </c>
      <c r="Q32" s="19">
        <f>-47.543-14.679+2.129-13.792+6.012-0.037-R32-S32</f>
        <v>-60.819000000000003</v>
      </c>
      <c r="R32" s="19">
        <f>-53.361-71.069+15.956+92.624+8.08+0.679-S32</f>
        <v>-61.100000000000023</v>
      </c>
      <c r="S32" s="19">
        <f>-5.466-72.478+15.147+113.161+3.645</f>
        <v>54.009000000000015</v>
      </c>
      <c r="T32" s="19"/>
      <c r="U32" s="19"/>
      <c r="V32" s="19"/>
    </row>
    <row r="33" spans="1:22" s="11" customFormat="1" x14ac:dyDescent="0.2">
      <c r="A33" s="19" t="s">
        <v>19</v>
      </c>
      <c r="B33" s="19">
        <f t="shared" ref="B33:C33" si="26">-B19-B20-B21</f>
        <v>-2.2579999999999814</v>
      </c>
      <c r="C33" s="19">
        <f t="shared" si="26"/>
        <v>-2.375</v>
      </c>
      <c r="D33" s="19">
        <f t="shared" ref="D33:E33" si="27">-D19-D20-D21</f>
        <v>-6.3069999999999098</v>
      </c>
      <c r="E33" s="19">
        <f t="shared" si="27"/>
        <v>-2.3100000000000023</v>
      </c>
      <c r="F33" s="19">
        <f t="shared" ref="F33" si="28">-F19-F20-F21</f>
        <v>-3.1830000000000496</v>
      </c>
      <c r="G33" s="19">
        <f t="shared" ref="G33:H33" si="29">-G19-G20-G21</f>
        <v>-2.4080000000000013</v>
      </c>
      <c r="H33" s="19">
        <f t="shared" si="29"/>
        <v>-3.2679999999999936</v>
      </c>
      <c r="I33" s="19">
        <f t="shared" ref="I33:O33" si="30">-I19-I20-I21</f>
        <v>-3.0939999999999941</v>
      </c>
      <c r="J33" s="19">
        <f t="shared" si="30"/>
        <v>-3.0320000000000107</v>
      </c>
      <c r="K33" s="19">
        <f t="shared" si="30"/>
        <v>-2.073999999999991</v>
      </c>
      <c r="L33" s="19">
        <f t="shared" si="30"/>
        <v>-10.811999999999976</v>
      </c>
      <c r="M33" s="19">
        <f t="shared" si="30"/>
        <v>-2.6499999999999915</v>
      </c>
      <c r="N33" s="19">
        <f t="shared" si="30"/>
        <v>-1.9670000000000272</v>
      </c>
      <c r="O33" s="19">
        <f t="shared" si="30"/>
        <v>-4.2680000000000078</v>
      </c>
      <c r="P33" s="19">
        <v>0</v>
      </c>
      <c r="Q33" s="19">
        <v>0</v>
      </c>
      <c r="R33" s="19">
        <v>0</v>
      </c>
      <c r="S33" s="19">
        <v>0</v>
      </c>
      <c r="T33" s="19"/>
      <c r="U33" s="19"/>
      <c r="V33" s="19"/>
    </row>
    <row r="34" spans="1:22" s="11" customFormat="1" x14ac:dyDescent="0.2">
      <c r="A34" s="19" t="s">
        <v>18</v>
      </c>
      <c r="B34" s="21">
        <f t="shared" ref="B34:C34" si="31">B35-B29-B30-B31-B32-B33</f>
        <v>5.0299999999999869</v>
      </c>
      <c r="C34" s="21">
        <f t="shared" si="31"/>
        <v>-4.57</v>
      </c>
      <c r="D34" s="21">
        <f t="shared" ref="D34:E34" si="32">D35-D29-D30-D31-D32-D33</f>
        <v>11.281999999999989</v>
      </c>
      <c r="E34" s="21">
        <f t="shared" si="32"/>
        <v>67.142000000000024</v>
      </c>
      <c r="F34" s="21">
        <f t="shared" ref="F34" si="33">F35-F29-F30-F31-F32-F33</f>
        <v>-59.093999999999959</v>
      </c>
      <c r="G34" s="21">
        <f t="shared" ref="G34:H34" si="34">G35-G29-G30-G31-G32-G33</f>
        <v>-0.41499999999999915</v>
      </c>
      <c r="H34" s="21">
        <f t="shared" si="34"/>
        <v>4.6959999999999695</v>
      </c>
      <c r="I34" s="21">
        <f t="shared" ref="I34:O34" si="35">I35-I29-I30-I31-I32-I33</f>
        <v>-0.40399999999996794</v>
      </c>
      <c r="J34" s="21">
        <f t="shared" si="35"/>
        <v>0.60099999999999909</v>
      </c>
      <c r="K34" s="21">
        <f t="shared" si="35"/>
        <v>-10.485999999999997</v>
      </c>
      <c r="L34" s="21">
        <f t="shared" si="35"/>
        <v>6.5349999999999717</v>
      </c>
      <c r="M34" s="21">
        <f t="shared" si="35"/>
        <v>3.1019999999999754</v>
      </c>
      <c r="N34" s="21">
        <f t="shared" si="35"/>
        <v>-2.3219999999999672</v>
      </c>
      <c r="O34" s="21">
        <f t="shared" si="35"/>
        <v>-6.5180000000000007</v>
      </c>
      <c r="P34" s="21">
        <v>0</v>
      </c>
      <c r="Q34" s="21">
        <v>0</v>
      </c>
      <c r="R34" s="21">
        <v>0</v>
      </c>
      <c r="S34" s="21">
        <v>0</v>
      </c>
      <c r="T34" s="21"/>
      <c r="U34" s="21"/>
      <c r="V34" s="21"/>
    </row>
    <row r="35" spans="1:22" s="20" customFormat="1" x14ac:dyDescent="0.2">
      <c r="A35" s="20" t="s">
        <v>17</v>
      </c>
      <c r="B35" s="20">
        <v>35.809999999999995</v>
      </c>
      <c r="C35" s="20">
        <v>13.935</v>
      </c>
      <c r="D35" s="20">
        <v>81.798000000000002</v>
      </c>
      <c r="E35" s="20">
        <v>20.5</v>
      </c>
      <c r="F35" s="20">
        <v>95.456000000000003</v>
      </c>
      <c r="G35" s="20">
        <v>21.401</v>
      </c>
      <c r="H35" s="20">
        <f>95.912-I35-J35-K35</f>
        <v>64.744</v>
      </c>
      <c r="I35" s="20">
        <v>-5.0350000000000037</v>
      </c>
      <c r="J35" s="20">
        <v>25.543000000000003</v>
      </c>
      <c r="K35" s="20">
        <v>10.66</v>
      </c>
      <c r="L35" s="20">
        <v>35.242000000000004</v>
      </c>
      <c r="M35" s="20">
        <v>10.722999999999999</v>
      </c>
      <c r="N35" s="20">
        <v>29.318000000000005</v>
      </c>
      <c r="O35" s="20">
        <v>6.7690000000000001</v>
      </c>
      <c r="P35" s="20">
        <f>88.652-Q35-R35-S35</f>
        <v>81.188000000000002</v>
      </c>
      <c r="Q35" s="20">
        <f>7.464-R35-S35</f>
        <v>10.325000000000001</v>
      </c>
      <c r="R35" s="20">
        <f>-2.861-S35</f>
        <v>6.1719999999999988</v>
      </c>
      <c r="S35" s="20">
        <v>-9.0329999999999995</v>
      </c>
    </row>
    <row r="36" spans="1:22" s="11" customFormat="1" x14ac:dyDescent="0.2">
      <c r="A36" s="19" t="s">
        <v>16</v>
      </c>
      <c r="B36" s="21">
        <v>-7.7960000000000003</v>
      </c>
      <c r="C36" s="21">
        <v>-7.6749999999999998</v>
      </c>
      <c r="D36" s="21">
        <v>-6.5730000000000004</v>
      </c>
      <c r="E36" s="21">
        <v>-12.364000000000001</v>
      </c>
      <c r="F36" s="21">
        <v>-8.1240000000000006</v>
      </c>
      <c r="G36" s="21">
        <v>-3.2919999999999998</v>
      </c>
      <c r="H36" s="21">
        <f>-25.043-I36-J36-K36</f>
        <v>-9.6050000000000004</v>
      </c>
      <c r="I36" s="21">
        <v>-5.3410000000000011</v>
      </c>
      <c r="J36" s="21">
        <v>-5.1589999999999998</v>
      </c>
      <c r="K36" s="21">
        <v>-4.9379999999999997</v>
      </c>
      <c r="L36" s="21">
        <v>-3.3290000000000006</v>
      </c>
      <c r="M36" s="21">
        <v>-4.9479999999999986</v>
      </c>
      <c r="N36" s="21">
        <v>-7.5330000000000004</v>
      </c>
      <c r="O36" s="21">
        <v>-4.4020000000000001</v>
      </c>
      <c r="P36" s="21">
        <f>-31.634-Q36-R36-S36</f>
        <v>-5.4269999999999996</v>
      </c>
      <c r="Q36" s="21">
        <f>-26.207-R36-S36</f>
        <v>-7.1859999999999999</v>
      </c>
      <c r="R36" s="21">
        <f>-19.021-S36</f>
        <v>-11.403</v>
      </c>
      <c r="S36" s="21">
        <v>-7.6180000000000003</v>
      </c>
      <c r="T36" s="21"/>
      <c r="U36" s="21"/>
      <c r="V36" s="21"/>
    </row>
    <row r="37" spans="1:22" s="20" customFormat="1" x14ac:dyDescent="0.2">
      <c r="A37" s="20" t="s">
        <v>15</v>
      </c>
      <c r="B37" s="20">
        <f t="shared" ref="B37:S37" si="36">B35+B36</f>
        <v>28.013999999999996</v>
      </c>
      <c r="C37" s="20">
        <f t="shared" si="36"/>
        <v>6.2600000000000007</v>
      </c>
      <c r="D37" s="20">
        <f t="shared" si="36"/>
        <v>75.224999999999994</v>
      </c>
      <c r="E37" s="20">
        <f t="shared" si="36"/>
        <v>8.1359999999999992</v>
      </c>
      <c r="F37" s="20">
        <f t="shared" si="36"/>
        <v>87.332000000000008</v>
      </c>
      <c r="G37" s="20">
        <f t="shared" si="36"/>
        <v>18.109000000000002</v>
      </c>
      <c r="H37" s="20">
        <f t="shared" si="36"/>
        <v>55.138999999999996</v>
      </c>
      <c r="I37" s="20">
        <f t="shared" si="36"/>
        <v>-10.376000000000005</v>
      </c>
      <c r="J37" s="20">
        <f t="shared" si="36"/>
        <v>20.384000000000004</v>
      </c>
      <c r="K37" s="20">
        <f t="shared" si="36"/>
        <v>5.7220000000000004</v>
      </c>
      <c r="L37" s="20">
        <f t="shared" si="36"/>
        <v>31.913000000000004</v>
      </c>
      <c r="M37" s="20">
        <f t="shared" si="36"/>
        <v>5.7750000000000004</v>
      </c>
      <c r="N37" s="20">
        <f t="shared" si="36"/>
        <v>21.785000000000004</v>
      </c>
      <c r="O37" s="20">
        <f t="shared" si="36"/>
        <v>2.367</v>
      </c>
      <c r="P37" s="20">
        <f t="shared" si="36"/>
        <v>75.760999999999996</v>
      </c>
      <c r="Q37" s="20">
        <f t="shared" si="36"/>
        <v>3.1390000000000011</v>
      </c>
      <c r="R37" s="20">
        <f t="shared" si="36"/>
        <v>-5.2310000000000016</v>
      </c>
      <c r="S37" s="20">
        <f t="shared" si="36"/>
        <v>-16.651</v>
      </c>
    </row>
    <row r="38" spans="1:22" x14ac:dyDescent="0.2">
      <c r="B38" s="65"/>
      <c r="C38" s="65"/>
      <c r="D38" s="65"/>
      <c r="E38" s="65"/>
      <c r="F38" s="65"/>
      <c r="G38" s="65"/>
      <c r="H38" s="65"/>
      <c r="I38" s="65"/>
      <c r="J38" s="65"/>
      <c r="K38" s="65"/>
      <c r="L38" s="65"/>
      <c r="M38" s="65"/>
      <c r="N38" s="65"/>
      <c r="O38" s="65"/>
      <c r="P38" s="65"/>
      <c r="Q38" s="65"/>
      <c r="R38" s="65"/>
    </row>
    <row r="39" spans="1:22" s="16" customFormat="1" x14ac:dyDescent="0.2">
      <c r="A39" s="18" t="s">
        <v>14</v>
      </c>
      <c r="B39" s="19">
        <v>0</v>
      </c>
      <c r="C39" s="19">
        <v>0</v>
      </c>
      <c r="D39" s="19">
        <v>0</v>
      </c>
      <c r="E39" s="19">
        <v>0</v>
      </c>
      <c r="F39" s="19">
        <v>0</v>
      </c>
      <c r="G39" s="19">
        <v>153</v>
      </c>
      <c r="H39" s="19">
        <v>0</v>
      </c>
      <c r="I39" s="19">
        <v>10</v>
      </c>
      <c r="J39" s="19">
        <v>0</v>
      </c>
      <c r="K39" s="19">
        <v>0</v>
      </c>
      <c r="L39" s="19">
        <v>0</v>
      </c>
      <c r="M39" s="19">
        <v>0</v>
      </c>
      <c r="N39" s="19">
        <v>0</v>
      </c>
      <c r="O39" s="19">
        <v>0</v>
      </c>
      <c r="P39" s="19">
        <v>0</v>
      </c>
      <c r="Q39" s="19">
        <v>0</v>
      </c>
      <c r="R39" s="19">
        <v>0</v>
      </c>
      <c r="S39" s="19"/>
      <c r="T39" s="19"/>
      <c r="U39" s="19"/>
      <c r="V39" s="19"/>
    </row>
    <row r="40" spans="1:22" s="16" customFormat="1" x14ac:dyDescent="0.2">
      <c r="A40" s="18" t="s">
        <v>13</v>
      </c>
      <c r="B40" s="19">
        <v>1223.42</v>
      </c>
      <c r="C40" s="19">
        <f>1147.125+68.242</f>
        <v>1215.367</v>
      </c>
      <c r="D40" s="19">
        <v>1219.952</v>
      </c>
      <c r="E40" s="19">
        <v>1069.8980000000001</v>
      </c>
      <c r="F40" s="19">
        <f>1002.436+59.409</f>
        <v>1061.845</v>
      </c>
      <c r="G40" s="19">
        <f>1004.975+22.537+25.854</f>
        <v>1053.366</v>
      </c>
      <c r="H40" s="19">
        <f>998.255+9.257+19.512+2.702+24.967+4.389</f>
        <v>1059.0819999999999</v>
      </c>
      <c r="I40" s="19">
        <f>1066.586-I39</f>
        <v>1056.586</v>
      </c>
      <c r="J40" s="19">
        <f>995.65-J39</f>
        <v>995.65</v>
      </c>
      <c r="K40" s="19">
        <f>976.442-K39</f>
        <v>976.44200000000001</v>
      </c>
      <c r="L40" s="19">
        <v>965</v>
      </c>
      <c r="M40" s="19">
        <v>792</v>
      </c>
      <c r="N40" s="19">
        <v>794</v>
      </c>
      <c r="O40" s="19">
        <v>796</v>
      </c>
      <c r="P40" s="19">
        <v>798</v>
      </c>
      <c r="Q40" s="19">
        <v>800</v>
      </c>
      <c r="R40" s="19">
        <v>554</v>
      </c>
      <c r="S40" s="19"/>
      <c r="T40" s="19"/>
      <c r="U40" s="19"/>
      <c r="V40" s="19"/>
    </row>
    <row r="41" spans="1:22" s="16" customFormat="1" x14ac:dyDescent="0.2">
      <c r="A41" s="18" t="s">
        <v>12</v>
      </c>
      <c r="B41" s="19">
        <f>B39+B40+275</f>
        <v>1498.42</v>
      </c>
      <c r="C41" s="19">
        <f>C39+C40+275</f>
        <v>1490.367</v>
      </c>
      <c r="D41" s="19">
        <f>D39+D40+275</f>
        <v>1494.952</v>
      </c>
      <c r="E41" s="19">
        <f>E39+E40+150</f>
        <v>1219.8980000000001</v>
      </c>
      <c r="F41" s="19">
        <f>F39+F40+150</f>
        <v>1211.845</v>
      </c>
      <c r="G41" s="19">
        <f>G39+G40+150</f>
        <v>1356.366</v>
      </c>
      <c r="H41" s="19">
        <f>H39+H40+144.104+5.896</f>
        <v>1209.0819999999999</v>
      </c>
      <c r="I41" s="19">
        <f>I39+I40+150</f>
        <v>1216.586</v>
      </c>
      <c r="J41" s="19">
        <f>J39+J40+200</f>
        <v>1195.6500000000001</v>
      </c>
      <c r="K41" s="19">
        <f>K39+K40+193.214</f>
        <v>1169.6559999999999</v>
      </c>
      <c r="L41" s="19">
        <f>L39+L40+200+20</f>
        <v>1185</v>
      </c>
      <c r="M41" s="19">
        <f>M39+M40+200+21.475</f>
        <v>1013.475</v>
      </c>
      <c r="N41" s="19">
        <f>N39+N40+200+21.642</f>
        <v>1015.6420000000001</v>
      </c>
      <c r="O41" s="19">
        <f>O39+O40+200+22.366</f>
        <v>1018.366</v>
      </c>
      <c r="P41" s="19">
        <f>P39+P40+200+22.824</f>
        <v>1020.824</v>
      </c>
      <c r="Q41" s="19">
        <f>Q39+Q40+200+23.865</f>
        <v>1023.865</v>
      </c>
      <c r="R41" s="19">
        <f>+R39+R40+200+10.608</f>
        <v>764.60799999999995</v>
      </c>
      <c r="S41" s="19"/>
      <c r="T41" s="19"/>
      <c r="U41" s="19"/>
      <c r="V41" s="19"/>
    </row>
    <row r="42" spans="1:22" s="16" customFormat="1" x14ac:dyDescent="0.2">
      <c r="A42" s="18" t="s">
        <v>11</v>
      </c>
      <c r="B42" s="17">
        <f t="shared" ref="B42:R42" si="37">363/0.67</f>
        <v>541.79104477611941</v>
      </c>
      <c r="C42" s="17">
        <f t="shared" si="37"/>
        <v>541.79104477611941</v>
      </c>
      <c r="D42" s="17">
        <f t="shared" si="37"/>
        <v>541.79104477611941</v>
      </c>
      <c r="E42" s="17">
        <f t="shared" si="37"/>
        <v>541.79104477611941</v>
      </c>
      <c r="F42" s="17">
        <f t="shared" si="37"/>
        <v>541.79104477611941</v>
      </c>
      <c r="G42" s="17">
        <f t="shared" si="37"/>
        <v>541.79104477611941</v>
      </c>
      <c r="H42" s="17">
        <f t="shared" si="37"/>
        <v>541.79104477611941</v>
      </c>
      <c r="I42" s="17">
        <f t="shared" si="37"/>
        <v>541.79104477611941</v>
      </c>
      <c r="J42" s="17">
        <f t="shared" si="37"/>
        <v>541.79104477611941</v>
      </c>
      <c r="K42" s="17">
        <f t="shared" si="37"/>
        <v>541.79104477611941</v>
      </c>
      <c r="L42" s="17">
        <f t="shared" si="37"/>
        <v>541.79104477611941</v>
      </c>
      <c r="M42" s="17">
        <f t="shared" si="37"/>
        <v>541.79104477611941</v>
      </c>
      <c r="N42" s="17">
        <f t="shared" si="37"/>
        <v>541.79104477611941</v>
      </c>
      <c r="O42" s="17">
        <f t="shared" si="37"/>
        <v>541.79104477611941</v>
      </c>
      <c r="P42" s="17">
        <f t="shared" si="37"/>
        <v>541.79104477611941</v>
      </c>
      <c r="Q42" s="17">
        <f t="shared" si="37"/>
        <v>541.79104477611941</v>
      </c>
      <c r="R42" s="17">
        <f t="shared" si="37"/>
        <v>541.79104477611941</v>
      </c>
      <c r="S42" s="17"/>
      <c r="T42" s="17"/>
      <c r="U42" s="17"/>
      <c r="V42" s="17"/>
    </row>
    <row r="43" spans="1:22" x14ac:dyDescent="0.2">
      <c r="B43" s="16"/>
      <c r="C43" s="16"/>
      <c r="D43" s="16"/>
      <c r="E43" s="16"/>
      <c r="F43" s="16"/>
      <c r="G43" s="16"/>
      <c r="H43" s="16"/>
      <c r="I43" s="16"/>
      <c r="J43" s="16"/>
      <c r="K43" s="16"/>
      <c r="L43" s="16"/>
      <c r="M43" s="16"/>
      <c r="N43" s="16"/>
      <c r="O43" s="16"/>
      <c r="P43" s="16"/>
      <c r="Q43" s="16"/>
      <c r="R43" s="16"/>
      <c r="S43" s="16"/>
      <c r="T43" s="16"/>
    </row>
    <row r="44" spans="1:22" x14ac:dyDescent="0.2">
      <c r="A44" s="15" t="s">
        <v>10</v>
      </c>
      <c r="B44" s="27">
        <v>127.631</v>
      </c>
      <c r="C44" s="27">
        <v>111.971</v>
      </c>
      <c r="D44" s="27">
        <v>25.202999999999999</v>
      </c>
      <c r="E44" s="27">
        <v>143.28899999999999</v>
      </c>
      <c r="F44" s="27">
        <v>149.13200000000001</v>
      </c>
      <c r="G44" s="27">
        <v>225.64099999999999</v>
      </c>
      <c r="H44" s="27">
        <v>62.192</v>
      </c>
      <c r="I44" s="27">
        <v>34.250999999999998</v>
      </c>
      <c r="J44" s="27">
        <v>48.081000000000003</v>
      </c>
      <c r="K44" s="27">
        <v>37.344000000000001</v>
      </c>
      <c r="L44" s="27">
        <v>35</v>
      </c>
      <c r="M44" s="27">
        <v>88.519000000000005</v>
      </c>
      <c r="N44" s="27">
        <v>97.912000000000006</v>
      </c>
      <c r="O44" s="27">
        <v>90.616</v>
      </c>
      <c r="P44" s="27">
        <v>90.462999999999994</v>
      </c>
      <c r="Q44" s="27">
        <v>18.795000000000002</v>
      </c>
      <c r="R44" s="27">
        <v>91.197999999999993</v>
      </c>
      <c r="S44" s="27"/>
      <c r="T44" s="27"/>
      <c r="U44" s="27"/>
      <c r="V44" s="27"/>
    </row>
    <row r="46" spans="1:22" x14ac:dyDescent="0.2">
      <c r="A46" s="1" t="s">
        <v>9</v>
      </c>
      <c r="B46" s="13">
        <f t="shared" ref="B46:S46" si="38">B12+C12+D12+E12</f>
        <v>1415.9190000000001</v>
      </c>
      <c r="C46" s="13">
        <f t="shared" si="38"/>
        <v>1409.817</v>
      </c>
      <c r="D46" s="13">
        <f t="shared" si="38"/>
        <v>1414.2620000000002</v>
      </c>
      <c r="E46" s="13">
        <f t="shared" si="38"/>
        <v>1431.241</v>
      </c>
      <c r="F46" s="13">
        <f t="shared" si="38"/>
        <v>1432.739</v>
      </c>
      <c r="G46" s="13">
        <f t="shared" si="38"/>
        <v>1439.116</v>
      </c>
      <c r="H46" s="13">
        <f t="shared" si="38"/>
        <v>1408.6349999999998</v>
      </c>
      <c r="I46" s="13">
        <f t="shared" si="38"/>
        <v>1411.3009999999999</v>
      </c>
      <c r="J46" s="13">
        <f t="shared" si="38"/>
        <v>1398.616</v>
      </c>
      <c r="K46" s="13">
        <f t="shared" si="38"/>
        <v>1378.9099999999999</v>
      </c>
      <c r="L46" s="13">
        <f t="shared" si="38"/>
        <v>1369.0889999999999</v>
      </c>
      <c r="M46" s="13">
        <f t="shared" si="38"/>
        <v>1354.0149999999999</v>
      </c>
      <c r="N46" s="13">
        <f t="shared" si="38"/>
        <v>1337.001</v>
      </c>
      <c r="O46" s="13">
        <f t="shared" si="38"/>
        <v>1341.636</v>
      </c>
      <c r="P46" s="13">
        <f t="shared" si="38"/>
        <v>1347.222</v>
      </c>
      <c r="Q46" s="13">
        <f t="shared" si="38"/>
        <v>1352.8869999999999</v>
      </c>
      <c r="R46" s="13">
        <f t="shared" si="38"/>
        <v>1326.1779999999999</v>
      </c>
      <c r="S46" s="13">
        <f t="shared" si="38"/>
        <v>1311.7950000000001</v>
      </c>
      <c r="T46" s="12">
        <v>1317.0540000000001</v>
      </c>
      <c r="U46" s="11"/>
      <c r="V46" s="11"/>
    </row>
    <row r="47" spans="1:22" x14ac:dyDescent="0.2">
      <c r="A47" s="1" t="s">
        <v>8</v>
      </c>
      <c r="B47" s="13">
        <f t="shared" ref="B47:C47" si="39">B27</f>
        <v>219.60099999999991</v>
      </c>
      <c r="C47" s="13">
        <f t="shared" si="39"/>
        <v>231.92099999999994</v>
      </c>
      <c r="D47" s="13">
        <f t="shared" ref="D47:E47" si="40">D27</f>
        <v>229.52099999999993</v>
      </c>
      <c r="E47" s="13">
        <f t="shared" si="40"/>
        <v>241.364</v>
      </c>
      <c r="F47" s="13">
        <f t="shared" ref="F47:G47" si="41">F27</f>
        <v>234.37100000000001</v>
      </c>
      <c r="G47" s="13">
        <f t="shared" si="41"/>
        <v>215.47800000000001</v>
      </c>
      <c r="H47" s="13">
        <f t="shared" ref="H47:I47" si="42">H27</f>
        <v>198.96600000000004</v>
      </c>
      <c r="I47" s="13">
        <f t="shared" si="42"/>
        <v>198.03800000000001</v>
      </c>
      <c r="J47" s="13">
        <f t="shared" ref="J47:K47" si="43">J27</f>
        <v>196.261</v>
      </c>
      <c r="K47" s="13">
        <f t="shared" si="43"/>
        <v>195.798</v>
      </c>
      <c r="L47" s="13">
        <f t="shared" ref="L47:S47" si="44">L27</f>
        <v>194.21299999999999</v>
      </c>
      <c r="M47" s="13">
        <f t="shared" si="44"/>
        <v>188.70500000000001</v>
      </c>
      <c r="N47" s="13">
        <f t="shared" si="44"/>
        <v>181.09399999999999</v>
      </c>
      <c r="O47" s="13">
        <f t="shared" si="44"/>
        <v>174.76</v>
      </c>
      <c r="P47" s="13">
        <f t="shared" si="44"/>
        <v>177.042</v>
      </c>
      <c r="Q47" s="13">
        <f t="shared" si="44"/>
        <v>182.13900000000001</v>
      </c>
      <c r="R47" s="13">
        <f t="shared" si="44"/>
        <v>167.83500000000001</v>
      </c>
      <c r="S47" s="13">
        <f t="shared" si="44"/>
        <v>162.82100000000003</v>
      </c>
      <c r="T47" s="13">
        <f>T27</f>
        <v>152.279</v>
      </c>
      <c r="U47" s="11"/>
      <c r="V47" s="11"/>
    </row>
    <row r="48" spans="1:22" x14ac:dyDescent="0.2">
      <c r="A48" s="1" t="s">
        <v>7</v>
      </c>
      <c r="B48" s="13">
        <f t="shared" ref="B48:P48" si="45">SUM(B37:E37)</f>
        <v>117.63499999999999</v>
      </c>
      <c r="C48" s="13">
        <f t="shared" si="45"/>
        <v>176.953</v>
      </c>
      <c r="D48" s="13">
        <f t="shared" si="45"/>
        <v>188.80199999999999</v>
      </c>
      <c r="E48" s="13">
        <f t="shared" si="45"/>
        <v>168.71600000000001</v>
      </c>
      <c r="F48" s="13">
        <f t="shared" si="45"/>
        <v>150.20399999999998</v>
      </c>
      <c r="G48" s="13">
        <f t="shared" si="45"/>
        <v>83.255999999999986</v>
      </c>
      <c r="H48" s="13">
        <f t="shared" si="45"/>
        <v>70.868999999999986</v>
      </c>
      <c r="I48" s="13">
        <f t="shared" si="45"/>
        <v>47.643000000000001</v>
      </c>
      <c r="J48" s="13">
        <f t="shared" si="45"/>
        <v>63.794000000000004</v>
      </c>
      <c r="K48" s="13">
        <f t="shared" si="45"/>
        <v>65.195000000000007</v>
      </c>
      <c r="L48" s="13">
        <f t="shared" si="45"/>
        <v>61.84</v>
      </c>
      <c r="M48" s="13">
        <f t="shared" si="45"/>
        <v>105.688</v>
      </c>
      <c r="N48" s="13">
        <f t="shared" si="45"/>
        <v>103.05199999999999</v>
      </c>
      <c r="O48" s="13">
        <f t="shared" si="45"/>
        <v>76.036000000000001</v>
      </c>
      <c r="P48" s="13">
        <f t="shared" si="45"/>
        <v>57.017999999999986</v>
      </c>
      <c r="Q48" s="12">
        <v>63.86</v>
      </c>
      <c r="R48" s="12">
        <v>63.86</v>
      </c>
      <c r="S48" s="11"/>
      <c r="T48" s="12"/>
      <c r="U48" s="11"/>
      <c r="V48" s="11"/>
    </row>
    <row r="50" spans="1:22" s="10" customFormat="1" x14ac:dyDescent="0.2">
      <c r="A50" s="10" t="s">
        <v>6</v>
      </c>
      <c r="B50" s="10">
        <f t="shared" ref="B50" si="46">+SUM(B39:B40)/B47</f>
        <v>5.5711039567215108</v>
      </c>
      <c r="C50" s="10">
        <f t="shared" ref="C50:D50" si="47">+SUM(C39:C40)/C47</f>
        <v>5.2404353206479808</v>
      </c>
      <c r="D50" s="10">
        <f t="shared" si="47"/>
        <v>5.3152086301471337</v>
      </c>
      <c r="E50" s="10">
        <f t="shared" ref="E50:F50" si="48">+SUM(E39:E40)/E47</f>
        <v>4.4327157322550175</v>
      </c>
      <c r="F50" s="10">
        <f t="shared" si="48"/>
        <v>4.530615989179549</v>
      </c>
      <c r="G50" s="10">
        <f t="shared" ref="G50:H50" si="49">+SUM(G39:G40)/G47</f>
        <v>5.5985576253724272</v>
      </c>
      <c r="H50" s="10">
        <f t="shared" si="49"/>
        <v>5.322929545751534</v>
      </c>
      <c r="I50" s="10">
        <f t="shared" ref="I50:J50" si="50">+SUM(I39:I40)/I47</f>
        <v>5.3857643482563953</v>
      </c>
      <c r="J50" s="10">
        <f t="shared" si="50"/>
        <v>5.073091444555974</v>
      </c>
      <c r="K50" s="10">
        <f t="shared" ref="K50:L50" si="51">+SUM(K39:K40)/K47</f>
        <v>4.9869865882184703</v>
      </c>
      <c r="L50" s="10">
        <f t="shared" si="51"/>
        <v>4.9687714004726766</v>
      </c>
      <c r="M50" s="10">
        <f t="shared" ref="M50:R50" si="52">+SUM(M39:M40)/M47</f>
        <v>4.1970271058000579</v>
      </c>
      <c r="N50" s="10">
        <f t="shared" si="52"/>
        <v>4.3844633173931769</v>
      </c>
      <c r="O50" s="10">
        <f t="shared" si="52"/>
        <v>4.5548180361638817</v>
      </c>
      <c r="P50" s="10">
        <f t="shared" si="52"/>
        <v>4.507405022537025</v>
      </c>
      <c r="Q50" s="10">
        <f t="shared" si="52"/>
        <v>4.392249875095394</v>
      </c>
      <c r="R50" s="10">
        <f t="shared" si="52"/>
        <v>3.3008609646378884</v>
      </c>
    </row>
    <row r="51" spans="1:22" s="10" customFormat="1" x14ac:dyDescent="0.2">
      <c r="A51" s="10" t="s">
        <v>5</v>
      </c>
      <c r="B51" s="10">
        <f t="shared" ref="B51" si="53">+B41/B47</f>
        <v>6.8233751212426199</v>
      </c>
      <c r="C51" s="10">
        <f t="shared" ref="C51:D51" si="54">+C41/C47</f>
        <v>6.4261839160748719</v>
      </c>
      <c r="D51" s="10">
        <f t="shared" si="54"/>
        <v>6.5133560763503144</v>
      </c>
      <c r="E51" s="10">
        <f t="shared" ref="E51:F51" si="55">+E41/E47</f>
        <v>5.0541837225104</v>
      </c>
      <c r="F51" s="10">
        <f t="shared" si="55"/>
        <v>5.170626912032632</v>
      </c>
      <c r="G51" s="10">
        <f t="shared" ref="G51:H51" si="56">+G41/G47</f>
        <v>6.2946843761312055</v>
      </c>
      <c r="H51" s="10">
        <f t="shared" si="56"/>
        <v>6.0768271966064535</v>
      </c>
      <c r="I51" s="10">
        <f t="shared" ref="I51:J51" si="57">+I41/I47</f>
        <v>6.1431947404033567</v>
      </c>
      <c r="J51" s="10">
        <f t="shared" si="57"/>
        <v>6.0921426060195358</v>
      </c>
      <c r="K51" s="10">
        <f t="shared" ref="K51:L51" si="58">+K41/K47</f>
        <v>5.9737893134761331</v>
      </c>
      <c r="L51" s="10">
        <f t="shared" si="58"/>
        <v>6.1015483000623032</v>
      </c>
      <c r="M51" s="10">
        <f t="shared" ref="M51:R51" si="59">+M41/M47</f>
        <v>5.3706844015791839</v>
      </c>
      <c r="N51" s="10">
        <f t="shared" si="59"/>
        <v>5.608369134261765</v>
      </c>
      <c r="O51" s="10">
        <f t="shared" si="59"/>
        <v>5.8272259098191812</v>
      </c>
      <c r="P51" s="10">
        <f t="shared" si="59"/>
        <v>5.7659990284791176</v>
      </c>
      <c r="Q51" s="10">
        <f t="shared" si="59"/>
        <v>5.6213386479556817</v>
      </c>
      <c r="R51" s="10">
        <f t="shared" si="59"/>
        <v>4.5557124556856428</v>
      </c>
    </row>
    <row r="52" spans="1:22" s="10" customFormat="1" x14ac:dyDescent="0.2">
      <c r="A52" s="10" t="s">
        <v>4</v>
      </c>
      <c r="B52" s="10">
        <f t="shared" ref="B52" si="60">+(B41-B44)/B47</f>
        <v>6.2421801357917337</v>
      </c>
      <c r="C52" s="10">
        <f t="shared" ref="C52:D52" si="61">+(C41-C44)/C47</f>
        <v>5.9433858943347104</v>
      </c>
      <c r="D52" s="10">
        <f t="shared" si="61"/>
        <v>6.4035491305806458</v>
      </c>
      <c r="E52" s="10">
        <f t="shared" ref="E52:F52" si="62">+(E41-E44)/E47</f>
        <v>4.4605202101390438</v>
      </c>
      <c r="F52" s="10">
        <f t="shared" si="62"/>
        <v>4.5343195190531249</v>
      </c>
      <c r="G52" s="10">
        <f t="shared" ref="G52:H52" si="63">+(G41-G44)/G47</f>
        <v>5.2475194683447954</v>
      </c>
      <c r="H52" s="10">
        <f t="shared" si="63"/>
        <v>5.7642511785933257</v>
      </c>
      <c r="I52" s="10">
        <f t="shared" ref="I52:J52" si="64">+(I41-I44)/I47</f>
        <v>5.9702430846605195</v>
      </c>
      <c r="J52" s="10">
        <f t="shared" si="64"/>
        <v>5.8471576115478889</v>
      </c>
      <c r="K52" s="10">
        <f t="shared" ref="K52:L52" si="65">+(K41-K44)/K47</f>
        <v>5.7830621354661433</v>
      </c>
      <c r="L52" s="10">
        <f t="shared" si="65"/>
        <v>5.9213337933094081</v>
      </c>
      <c r="M52" s="10">
        <f t="shared" ref="M52:R52" si="66">+(M41-M44)/M47</f>
        <v>4.901597731909594</v>
      </c>
      <c r="N52" s="10">
        <f t="shared" si="66"/>
        <v>5.0676996476967764</v>
      </c>
      <c r="O52" s="10">
        <f t="shared" si="66"/>
        <v>5.3087090867475402</v>
      </c>
      <c r="P52" s="10">
        <f t="shared" si="66"/>
        <v>5.2550298799155</v>
      </c>
      <c r="Q52" s="10">
        <f t="shared" si="66"/>
        <v>5.5181482274526594</v>
      </c>
      <c r="R52" s="10">
        <f t="shared" si="66"/>
        <v>4.0123335418714809</v>
      </c>
    </row>
    <row r="53" spans="1:22" s="6" customFormat="1" x14ac:dyDescent="0.2">
      <c r="A53" s="6" t="s">
        <v>3</v>
      </c>
      <c r="B53" s="6">
        <f t="shared" ref="B53" si="67">+B48/B41</f>
        <v>7.8506026347752958E-2</v>
      </c>
      <c r="C53" s="6">
        <f t="shared" ref="C53:D53" si="68">+C48/C41</f>
        <v>0.11873115816439844</v>
      </c>
      <c r="D53" s="6">
        <f t="shared" si="68"/>
        <v>0.12629301810359128</v>
      </c>
      <c r="E53" s="6">
        <f t="shared" ref="E53:F53" si="69">+E48/E41</f>
        <v>0.13830336634702245</v>
      </c>
      <c r="F53" s="6">
        <f t="shared" si="69"/>
        <v>0.12394654431878663</v>
      </c>
      <c r="G53" s="6">
        <f t="shared" ref="G53:H53" si="70">+G48/G41</f>
        <v>6.1381662471633756E-2</v>
      </c>
      <c r="H53" s="6">
        <f t="shared" si="70"/>
        <v>5.8613890538441557E-2</v>
      </c>
      <c r="I53" s="6">
        <f t="shared" ref="I53:J53" si="71">+I48/I41</f>
        <v>3.9161226579954071E-2</v>
      </c>
      <c r="J53" s="6">
        <f t="shared" si="71"/>
        <v>5.3355078827416053E-2</v>
      </c>
      <c r="K53" s="6">
        <f t="shared" ref="K53:L53" si="72">+K48/K41</f>
        <v>5.5738610326454968E-2</v>
      </c>
      <c r="L53" s="6">
        <f t="shared" si="72"/>
        <v>5.2185654008438824E-2</v>
      </c>
      <c r="M53" s="6">
        <f t="shared" ref="M53:R53" si="73">+M48/M41</f>
        <v>0.10428278941266435</v>
      </c>
      <c r="N53" s="6">
        <f t="shared" si="73"/>
        <v>0.10146488624928861</v>
      </c>
      <c r="O53" s="6">
        <f t="shared" si="73"/>
        <v>7.466470797336125E-2</v>
      </c>
      <c r="P53" s="6">
        <f t="shared" si="73"/>
        <v>5.5854878020109237E-2</v>
      </c>
      <c r="Q53" s="6">
        <f t="shared" si="73"/>
        <v>6.2371504055710465E-2</v>
      </c>
      <c r="R53" s="6">
        <f t="shared" si="73"/>
        <v>8.3519921319159626E-2</v>
      </c>
    </row>
    <row r="54" spans="1:22" s="6" customFormat="1" x14ac:dyDescent="0.2">
      <c r="A54" s="8" t="s">
        <v>2</v>
      </c>
      <c r="B54" s="9"/>
      <c r="C54" s="9"/>
      <c r="D54" s="9"/>
      <c r="E54" s="9"/>
      <c r="F54" s="9"/>
      <c r="G54" s="9"/>
      <c r="H54" s="9"/>
      <c r="I54" s="9"/>
      <c r="J54" s="9"/>
      <c r="K54" s="9"/>
      <c r="L54" s="9"/>
      <c r="M54" s="9"/>
      <c r="N54" s="9"/>
      <c r="O54" s="9"/>
      <c r="P54" s="9"/>
      <c r="Q54" s="9"/>
      <c r="R54" s="9"/>
      <c r="S54" s="9"/>
      <c r="T54" s="9"/>
      <c r="U54" s="9"/>
      <c r="V54" s="9"/>
    </row>
    <row r="55" spans="1:22" s="6" customFormat="1" x14ac:dyDescent="0.2">
      <c r="A55" s="6" t="s">
        <v>1</v>
      </c>
      <c r="B55" s="7">
        <f t="shared" ref="B55" si="74">IF(B42=0,IF(B54="","","*"&amp;TEXT(B54,"0.0x")),(B41+B42-B44)/B47)</f>
        <v>8.7093412360422775</v>
      </c>
      <c r="C55" s="7">
        <f t="shared" ref="C55:D55" si="75">IF(C42=0,IF(C54="","","*"&amp;TEXT(C54,"0.0x")),(C41+C42-C44)/C47)</f>
        <v>8.2794876047279882</v>
      </c>
      <c r="D55" s="7">
        <f t="shared" si="75"/>
        <v>8.7640784275779566</v>
      </c>
      <c r="E55" s="7">
        <f t="shared" ref="E55:F55" si="76">IF(E42=0,IF(E54="","","*"&amp;TEXT(E54,"0.0x")),(E41+E42-E44)/E47)</f>
        <v>6.705225488374901</v>
      </c>
      <c r="F55" s="7">
        <f t="shared" si="76"/>
        <v>6.8460007627911272</v>
      </c>
      <c r="G55" s="7">
        <f t="shared" ref="G55:H55" si="77">IF(G42=0,IF(G54="","","*"&amp;TEXT(G54,"0.0x")),(G41+G42-G44)/G47)</f>
        <v>7.7618877322794866</v>
      </c>
      <c r="H55" s="7">
        <f t="shared" si="77"/>
        <v>8.4872844846663202</v>
      </c>
      <c r="I55" s="7">
        <f t="shared" ref="I55:J55" si="78">IF(I42=0,IF(I54="","","*"&amp;TEXT(I54,"0.0x")),(I41+I42-I44)/I47)</f>
        <v>8.7060364413704416</v>
      </c>
      <c r="J55" s="7">
        <f t="shared" si="78"/>
        <v>8.6077215787961929</v>
      </c>
      <c r="K55" s="7">
        <f t="shared" ref="K55:L55" si="79">IF(K42=0,IF(K54="","","*"&amp;TEXT(K54,"0.0x")),(K41+K42-K44)/K47)</f>
        <v>8.5501539585497266</v>
      </c>
      <c r="L55" s="7">
        <f t="shared" si="79"/>
        <v>8.7110082475226651</v>
      </c>
      <c r="M55" s="7">
        <f t="shared" ref="M55:V55" si="80">IF(M42=0,IF(M54="","","*"&amp;TEXT(M54,"0.0x")),(M41+M42-M44)/M47)</f>
        <v>7.7726983639867484</v>
      </c>
      <c r="N55" s="7">
        <f t="shared" si="80"/>
        <v>8.0594666017434005</v>
      </c>
      <c r="O55" s="7">
        <f t="shared" si="80"/>
        <v>8.4089096176248539</v>
      </c>
      <c r="P55" s="7">
        <f t="shared" si="80"/>
        <v>8.3152700758922702</v>
      </c>
      <c r="Q55" s="7">
        <f t="shared" si="80"/>
        <v>8.4927502883848014</v>
      </c>
      <c r="R55" s="7">
        <f t="shared" si="80"/>
        <v>7.2404507091853265</v>
      </c>
      <c r="S55" s="7" t="str">
        <f t="shared" si="80"/>
        <v/>
      </c>
      <c r="T55" s="7" t="str">
        <f t="shared" si="80"/>
        <v/>
      </c>
      <c r="U55" s="7" t="str">
        <f t="shared" si="80"/>
        <v/>
      </c>
      <c r="V55" s="7" t="str">
        <f t="shared" si="80"/>
        <v/>
      </c>
    </row>
    <row r="56" spans="1:22" x14ac:dyDescent="0.2">
      <c r="V56" s="3"/>
    </row>
    <row r="57" spans="1:22" ht="80.25" customHeight="1" x14ac:dyDescent="0.2">
      <c r="A57" s="5" t="s">
        <v>0</v>
      </c>
      <c r="B57" s="4" t="s">
        <v>104</v>
      </c>
      <c r="C57" s="4" t="s">
        <v>235</v>
      </c>
      <c r="D57" s="4" t="s">
        <v>104</v>
      </c>
      <c r="E57" s="4" t="s">
        <v>104</v>
      </c>
      <c r="F57" s="4" t="s">
        <v>104</v>
      </c>
      <c r="G57" s="4" t="s">
        <v>367</v>
      </c>
      <c r="H57" s="4" t="s">
        <v>235</v>
      </c>
      <c r="I57" s="4" t="s">
        <v>104</v>
      </c>
      <c r="J57" s="4" t="s">
        <v>104</v>
      </c>
      <c r="K57" s="4" t="s">
        <v>104</v>
      </c>
      <c r="L57" s="4" t="s">
        <v>345</v>
      </c>
      <c r="M57" s="4"/>
      <c r="N57" s="4"/>
      <c r="O57" s="4"/>
      <c r="P57" s="4" t="s">
        <v>190</v>
      </c>
      <c r="Q57" s="4" t="s">
        <v>205</v>
      </c>
      <c r="R57" s="4" t="s">
        <v>205</v>
      </c>
      <c r="S57" s="4"/>
      <c r="T57" s="4"/>
      <c r="U57" s="4" t="s">
        <v>190</v>
      </c>
      <c r="V57" s="4" t="s">
        <v>190</v>
      </c>
    </row>
    <row r="58" spans="1:22" x14ac:dyDescent="0.2">
      <c r="A58" s="2"/>
      <c r="B58" s="3"/>
      <c r="C58" s="3"/>
      <c r="D58" s="3"/>
      <c r="E58" s="3"/>
      <c r="F58" s="3"/>
      <c r="G58" s="3"/>
      <c r="H58" s="3"/>
      <c r="I58" s="3"/>
      <c r="J58" s="3"/>
      <c r="K58" s="3"/>
      <c r="L58" s="3"/>
      <c r="M58" s="3"/>
      <c r="N58" s="3"/>
      <c r="O58" s="3"/>
      <c r="P58" s="3"/>
      <c r="Q58" s="3"/>
      <c r="R58" s="3"/>
    </row>
    <row r="59" spans="1:22" x14ac:dyDescent="0.2">
      <c r="A59" s="2"/>
    </row>
  </sheetData>
  <pageMargins left="0.7" right="0.7" top="0.75" bottom="0.75" header="0.3" footer="0.3"/>
  <pageSetup orientation="portrait" r:id="rId1"/>
  <ignoredErrors>
    <ignoredError sqref="I24:O30 C24:D25" formulaRange="1"/>
  </ignoredErrors>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2:AD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5" width="10.7109375" style="1" customWidth="1"/>
    <col min="26" max="16384" width="9.140625" style="1"/>
  </cols>
  <sheetData>
    <row r="2" spans="1:27" x14ac:dyDescent="0.2">
      <c r="A2" s="34" t="s">
        <v>45</v>
      </c>
      <c r="B2" s="1" t="s">
        <v>436</v>
      </c>
    </row>
    <row r="3" spans="1:27" s="35" customFormat="1" x14ac:dyDescent="0.2">
      <c r="A3" s="36" t="s">
        <v>43</v>
      </c>
      <c r="B3" s="35" t="s">
        <v>209</v>
      </c>
    </row>
    <row r="4" spans="1:27" x14ac:dyDescent="0.2">
      <c r="A4" s="34" t="s">
        <v>41</v>
      </c>
      <c r="B4" s="1" t="s">
        <v>40</v>
      </c>
    </row>
    <row r="5" spans="1:27" x14ac:dyDescent="0.2">
      <c r="A5" s="34" t="s">
        <v>39</v>
      </c>
    </row>
    <row r="6" spans="1:27" x14ac:dyDescent="0.2">
      <c r="A6" s="34" t="s">
        <v>38</v>
      </c>
      <c r="B6" s="1">
        <v>3</v>
      </c>
    </row>
    <row r="7" spans="1:27" x14ac:dyDescent="0.2">
      <c r="A7" s="34" t="s">
        <v>37</v>
      </c>
      <c r="B7" s="1" t="s">
        <v>233</v>
      </c>
    </row>
    <row r="8" spans="1:27" x14ac:dyDescent="0.2">
      <c r="A8" s="34" t="s">
        <v>281</v>
      </c>
      <c r="B8" s="1" t="s">
        <v>295</v>
      </c>
    </row>
    <row r="9" spans="1:27" x14ac:dyDescent="0.2">
      <c r="A9" s="22"/>
    </row>
    <row r="10" spans="1:27"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c r="U10" s="33">
        <v>42643</v>
      </c>
      <c r="V10" s="33">
        <v>42551</v>
      </c>
      <c r="W10" s="33">
        <v>42460</v>
      </c>
      <c r="X10" s="33">
        <v>42369</v>
      </c>
      <c r="Y10" s="33">
        <v>42277</v>
      </c>
    </row>
    <row r="12" spans="1:27" x14ac:dyDescent="0.2">
      <c r="A12" s="15" t="s">
        <v>35</v>
      </c>
      <c r="B12" s="19">
        <v>242.18299999999999</v>
      </c>
      <c r="C12" s="19">
        <v>267.19</v>
      </c>
      <c r="D12" s="19">
        <v>255.15399999999991</v>
      </c>
      <c r="E12" s="19">
        <v>287.52600000000001</v>
      </c>
      <c r="F12" s="19">
        <v>143.81800000000001</v>
      </c>
      <c r="G12" s="19">
        <v>205.37799999999999</v>
      </c>
      <c r="H12" s="19">
        <v>209</v>
      </c>
      <c r="I12" s="19">
        <v>284</v>
      </c>
      <c r="J12" s="19">
        <v>196.23400000000001</v>
      </c>
      <c r="K12" s="19">
        <v>149</v>
      </c>
      <c r="L12" s="19">
        <f>687.276-M12-N12-O12</f>
        <v>271.82699999999994</v>
      </c>
      <c r="M12" s="19">
        <v>147.85499999999999</v>
      </c>
      <c r="N12" s="19">
        <v>140.74700000000001</v>
      </c>
      <c r="O12" s="19">
        <v>126.84699999999999</v>
      </c>
      <c r="P12" s="19">
        <f>744.731-S12-R12-Q12</f>
        <v>199.61599999999999</v>
      </c>
      <c r="Q12" s="19">
        <v>302.75400000000002</v>
      </c>
      <c r="R12" s="19">
        <v>137.20500000000001</v>
      </c>
      <c r="S12" s="19">
        <v>105.15600000000001</v>
      </c>
      <c r="T12" s="19">
        <v>226.98</v>
      </c>
      <c r="U12" s="19">
        <v>220.56100000000001</v>
      </c>
      <c r="V12" s="19">
        <v>126.51600000000001</v>
      </c>
      <c r="W12" s="19">
        <f>254.969-V12</f>
        <v>128.45299999999997</v>
      </c>
      <c r="X12" s="19">
        <v>186</v>
      </c>
      <c r="Y12" s="19">
        <v>149</v>
      </c>
      <c r="AA12" s="118"/>
    </row>
    <row r="13" spans="1:27" s="28" customFormat="1" x14ac:dyDescent="0.2">
      <c r="A13" s="28" t="s">
        <v>34</v>
      </c>
      <c r="B13" s="28">
        <f t="shared" ref="B13:U13" si="0">+B12/F12-1</f>
        <v>0.68395472054958328</v>
      </c>
      <c r="C13" s="28">
        <f t="shared" si="0"/>
        <v>0.3009669974388689</v>
      </c>
      <c r="D13" s="28">
        <f t="shared" si="0"/>
        <v>0.22083253588516705</v>
      </c>
      <c r="E13" s="28">
        <f t="shared" si="0"/>
        <v>1.2415492957746466E-2</v>
      </c>
      <c r="F13" s="28">
        <f t="shared" si="0"/>
        <v>-0.26710967518370921</v>
      </c>
      <c r="G13" s="28">
        <f t="shared" si="0"/>
        <v>0.37837583892617443</v>
      </c>
      <c r="H13" s="28">
        <f t="shared" si="0"/>
        <v>-0.23112862224870945</v>
      </c>
      <c r="I13" s="28">
        <f t="shared" si="0"/>
        <v>0.9208007845524333</v>
      </c>
      <c r="J13" s="28">
        <f t="shared" si="0"/>
        <v>0.39423220388356395</v>
      </c>
      <c r="K13" s="28">
        <f t="shared" si="0"/>
        <v>0.17464346811513098</v>
      </c>
      <c r="L13" s="28">
        <f t="shared" si="0"/>
        <v>0.36174955915357465</v>
      </c>
      <c r="M13" s="28">
        <f t="shared" si="0"/>
        <v>-0.51163320715828697</v>
      </c>
      <c r="N13" s="28">
        <f t="shared" si="0"/>
        <v>2.5815385736671415E-2</v>
      </c>
      <c r="O13" s="28">
        <f t="shared" si="0"/>
        <v>0.20627448742820187</v>
      </c>
      <c r="P13" s="28">
        <f t="shared" si="0"/>
        <v>-0.1205568772579082</v>
      </c>
      <c r="Q13" s="28">
        <f t="shared" si="0"/>
        <v>0.37265427704807297</v>
      </c>
      <c r="R13" s="28">
        <f t="shared" si="0"/>
        <v>8.4487337569951748E-2</v>
      </c>
      <c r="S13" s="28">
        <f t="shared" si="0"/>
        <v>-0.18136594707791931</v>
      </c>
      <c r="T13" s="28">
        <f t="shared" si="0"/>
        <v>0.22032258064516119</v>
      </c>
      <c r="U13" s="28">
        <f t="shared" si="0"/>
        <v>0.48027516778523505</v>
      </c>
    </row>
    <row r="14" spans="1:27"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row>
    <row r="15" spans="1:27" x14ac:dyDescent="0.2">
      <c r="B15" s="56"/>
      <c r="C15" s="56"/>
      <c r="D15" s="56"/>
      <c r="E15" s="56"/>
      <c r="F15" s="56"/>
      <c r="G15" s="56"/>
      <c r="H15" s="56"/>
      <c r="I15" s="56"/>
      <c r="J15" s="56"/>
      <c r="K15" s="56"/>
      <c r="L15" s="56"/>
      <c r="M15" s="56"/>
      <c r="P15" s="56"/>
    </row>
    <row r="16" spans="1:27" s="22" customFormat="1" x14ac:dyDescent="0.2">
      <c r="A16" s="30" t="s">
        <v>31</v>
      </c>
      <c r="B16" s="29">
        <v>128.12799999999999</v>
      </c>
      <c r="C16" s="29">
        <v>137.32500000000002</v>
      </c>
      <c r="D16" s="29">
        <v>125.72199999999985</v>
      </c>
      <c r="E16" s="29">
        <v>167</v>
      </c>
      <c r="F16" s="29">
        <v>75</v>
      </c>
      <c r="G16" s="29">
        <v>105</v>
      </c>
      <c r="H16" s="29">
        <f>H22-H21-H20-H19</f>
        <v>103</v>
      </c>
      <c r="I16" s="29">
        <v>149.15299999999999</v>
      </c>
      <c r="J16" s="29">
        <v>88.640000000000043</v>
      </c>
      <c r="K16" s="29">
        <f>-28+34-6+46+1+2+3+0</f>
        <v>52</v>
      </c>
      <c r="L16" s="29">
        <f>L22-L21-L20-L19</f>
        <v>118</v>
      </c>
      <c r="M16" s="29">
        <f>-62+47+1+60-0+2+3</f>
        <v>51</v>
      </c>
      <c r="N16" s="29">
        <f>-77+46+10+61+2+3</f>
        <v>45</v>
      </c>
      <c r="O16" s="29">
        <f>-155+89+22+121+1+4+5+1-N16</f>
        <v>43</v>
      </c>
      <c r="P16" s="29">
        <f>-13.27+240.374+18.217+13.345-Q16-R16-S16</f>
        <v>69.665999999999997</v>
      </c>
      <c r="Q16" s="29">
        <v>113</v>
      </c>
      <c r="R16" s="29">
        <v>43</v>
      </c>
      <c r="S16" s="29">
        <f>76-R16</f>
        <v>33</v>
      </c>
      <c r="T16" s="29">
        <v>93</v>
      </c>
      <c r="U16" s="29">
        <v>67</v>
      </c>
      <c r="V16" s="29">
        <v>30</v>
      </c>
      <c r="W16" s="29">
        <f>66-V16</f>
        <v>36</v>
      </c>
      <c r="X16" s="29">
        <v>61</v>
      </c>
      <c r="Y16" s="29">
        <v>44</v>
      </c>
    </row>
    <row r="17" spans="1:30" s="28" customFormat="1" x14ac:dyDescent="0.2">
      <c r="A17" s="28" t="s">
        <v>30</v>
      </c>
      <c r="B17" s="28">
        <f t="shared" ref="B17" si="1">+B16/B12</f>
        <v>0.52905447533476746</v>
      </c>
      <c r="C17" s="28">
        <f t="shared" ref="C17:D17" si="2">+C16/C12</f>
        <v>0.51396010329727915</v>
      </c>
      <c r="D17" s="28">
        <f t="shared" si="2"/>
        <v>0.49272988077788277</v>
      </c>
      <c r="E17" s="28">
        <f t="shared" ref="E17:F17" si="3">+E16/E12</f>
        <v>0.58081703915471994</v>
      </c>
      <c r="F17" s="28">
        <f t="shared" si="3"/>
        <v>0.52149244183620957</v>
      </c>
      <c r="G17" s="28">
        <f t="shared" ref="G17:J17" si="4">+G16/G12</f>
        <v>0.51125242236266788</v>
      </c>
      <c r="H17" s="28">
        <f t="shared" si="4"/>
        <v>0.49282296650717705</v>
      </c>
      <c r="I17" s="28">
        <f t="shared" si="4"/>
        <v>0.52518661971830982</v>
      </c>
      <c r="J17" s="28">
        <f t="shared" si="4"/>
        <v>0.45170561676365989</v>
      </c>
      <c r="K17" s="28">
        <f t="shared" ref="K17:Y17" si="5">+K16/K12</f>
        <v>0.34899328859060402</v>
      </c>
      <c r="L17" s="28">
        <f t="shared" si="5"/>
        <v>0.43409962954379083</v>
      </c>
      <c r="M17" s="28">
        <f t="shared" si="5"/>
        <v>0.34493253525413414</v>
      </c>
      <c r="N17" s="28">
        <f t="shared" si="5"/>
        <v>0.31972262286229897</v>
      </c>
      <c r="O17" s="28">
        <f t="shared" si="5"/>
        <v>0.33899106797953443</v>
      </c>
      <c r="P17" s="28">
        <f t="shared" si="5"/>
        <v>0.3490000801538955</v>
      </c>
      <c r="Q17" s="28">
        <f t="shared" si="5"/>
        <v>0.37324032052425399</v>
      </c>
      <c r="R17" s="28">
        <f t="shared" si="5"/>
        <v>0.31339965744688603</v>
      </c>
      <c r="S17" s="28">
        <f t="shared" si="5"/>
        <v>0.31381946821864659</v>
      </c>
      <c r="T17" s="28">
        <f t="shared" si="5"/>
        <v>0.40972772931535822</v>
      </c>
      <c r="U17" s="28">
        <f t="shared" si="5"/>
        <v>0.30377083890624362</v>
      </c>
      <c r="V17" s="28">
        <f t="shared" si="5"/>
        <v>0.23712415820923835</v>
      </c>
      <c r="W17" s="28">
        <f t="shared" si="5"/>
        <v>0.28025814889492662</v>
      </c>
      <c r="X17" s="28">
        <f t="shared" si="5"/>
        <v>0.32795698924731181</v>
      </c>
      <c r="Y17" s="28">
        <f t="shared" si="5"/>
        <v>0.29530201342281881</v>
      </c>
    </row>
    <row r="18" spans="1:30" s="23" customFormat="1" x14ac:dyDescent="0.2"/>
    <row r="19" spans="1:30"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30" s="23" customFormat="1" x14ac:dyDescent="0.2">
      <c r="A20" s="15" t="s">
        <v>28</v>
      </c>
      <c r="B20" s="19">
        <v>0</v>
      </c>
      <c r="C20" s="19">
        <v>0</v>
      </c>
      <c r="D20" s="19">
        <v>0</v>
      </c>
      <c r="E20" s="19">
        <v>0</v>
      </c>
      <c r="F20" s="19">
        <v>0</v>
      </c>
      <c r="G20" s="19">
        <v>0</v>
      </c>
      <c r="H20" s="19">
        <v>0</v>
      </c>
      <c r="I20" s="19">
        <v>0</v>
      </c>
      <c r="J20" s="19">
        <v>0</v>
      </c>
      <c r="K20" s="19">
        <v>1</v>
      </c>
      <c r="L20" s="19">
        <v>10</v>
      </c>
      <c r="M20" s="19">
        <v>4</v>
      </c>
      <c r="N20" s="19">
        <v>3</v>
      </c>
      <c r="O20" s="19">
        <f>6-N20</f>
        <v>3</v>
      </c>
      <c r="P20" s="19">
        <v>0</v>
      </c>
      <c r="Q20" s="19">
        <v>0</v>
      </c>
      <c r="R20" s="19">
        <v>0</v>
      </c>
      <c r="S20" s="19">
        <v>0</v>
      </c>
      <c r="T20" s="19">
        <v>0</v>
      </c>
      <c r="U20" s="19">
        <v>0</v>
      </c>
      <c r="V20" s="19">
        <v>0</v>
      </c>
      <c r="W20" s="19">
        <v>0</v>
      </c>
      <c r="X20" s="19">
        <v>0</v>
      </c>
      <c r="Y20" s="19">
        <v>0</v>
      </c>
    </row>
    <row r="21" spans="1:30" s="23" customFormat="1" x14ac:dyDescent="0.2">
      <c r="A21" s="15" t="s">
        <v>18</v>
      </c>
      <c r="B21" s="19">
        <v>0</v>
      </c>
      <c r="C21" s="19">
        <v>0</v>
      </c>
      <c r="D21" s="19">
        <v>0</v>
      </c>
      <c r="E21" s="19">
        <v>0</v>
      </c>
      <c r="F21" s="19">
        <v>0</v>
      </c>
      <c r="G21" s="19">
        <v>0</v>
      </c>
      <c r="H21" s="19">
        <f>2+2</f>
        <v>4</v>
      </c>
      <c r="I21" s="19">
        <v>4.8470000000000084</v>
      </c>
      <c r="J21" s="19">
        <v>10.359999999999957</v>
      </c>
      <c r="K21" s="19">
        <f>6+2</f>
        <v>8</v>
      </c>
      <c r="L21" s="19">
        <f>3+6</f>
        <v>9</v>
      </c>
      <c r="M21" s="19">
        <v>2</v>
      </c>
      <c r="N21" s="19">
        <v>1</v>
      </c>
      <c r="O21" s="19">
        <f>2-N21</f>
        <v>1</v>
      </c>
      <c r="P21" s="19">
        <f>P22-P16-P19-P20</f>
        <v>13.334000000000003</v>
      </c>
      <c r="Q21" s="19">
        <v>0</v>
      </c>
      <c r="R21" s="19">
        <v>0</v>
      </c>
      <c r="S21" s="19">
        <v>0</v>
      </c>
      <c r="T21" s="19">
        <v>0</v>
      </c>
      <c r="U21" s="19">
        <v>0</v>
      </c>
      <c r="V21" s="19">
        <v>0</v>
      </c>
      <c r="W21" s="19">
        <v>0</v>
      </c>
      <c r="X21" s="19">
        <v>0</v>
      </c>
      <c r="Y21" s="19">
        <v>0</v>
      </c>
    </row>
    <row r="22" spans="1:30" s="22" customFormat="1" x14ac:dyDescent="0.2">
      <c r="A22" s="22" t="s">
        <v>23</v>
      </c>
      <c r="B22" s="20">
        <f t="shared" ref="B22" si="6">SUM(B16,B19:B21)</f>
        <v>128.12799999999999</v>
      </c>
      <c r="C22" s="20">
        <f t="shared" ref="C22:D22" si="7">SUM(C16,C19:C21)</f>
        <v>137.32500000000002</v>
      </c>
      <c r="D22" s="20">
        <f t="shared" si="7"/>
        <v>125.72199999999985</v>
      </c>
      <c r="E22" s="20">
        <f t="shared" ref="E22:F22" si="8">SUM(E16,E19:E21)</f>
        <v>167</v>
      </c>
      <c r="F22" s="20">
        <f t="shared" si="8"/>
        <v>75</v>
      </c>
      <c r="G22" s="20">
        <f t="shared" ref="G22:Y22" si="9">SUM(G16,G19:G21)</f>
        <v>105</v>
      </c>
      <c r="H22" s="20">
        <f>421-I22-J22-K22</f>
        <v>107</v>
      </c>
      <c r="I22" s="20">
        <f t="shared" si="9"/>
        <v>154</v>
      </c>
      <c r="J22" s="20">
        <f t="shared" si="9"/>
        <v>99</v>
      </c>
      <c r="K22" s="20">
        <f t="shared" si="9"/>
        <v>61</v>
      </c>
      <c r="L22" s="61">
        <f>290-M22-N22-O22</f>
        <v>137</v>
      </c>
      <c r="M22" s="20">
        <f t="shared" si="9"/>
        <v>57</v>
      </c>
      <c r="N22" s="20">
        <f t="shared" si="9"/>
        <v>49</v>
      </c>
      <c r="O22" s="20">
        <f t="shared" si="9"/>
        <v>47</v>
      </c>
      <c r="P22" s="61">
        <f>272-Q22-R22-S22</f>
        <v>83</v>
      </c>
      <c r="Q22" s="20">
        <f t="shared" si="9"/>
        <v>113</v>
      </c>
      <c r="R22" s="20">
        <f t="shared" si="9"/>
        <v>43</v>
      </c>
      <c r="S22" s="20">
        <f t="shared" si="9"/>
        <v>33</v>
      </c>
      <c r="T22" s="20">
        <f t="shared" si="9"/>
        <v>93</v>
      </c>
      <c r="U22" s="20">
        <f t="shared" si="9"/>
        <v>67</v>
      </c>
      <c r="V22" s="20">
        <f t="shared" si="9"/>
        <v>30</v>
      </c>
      <c r="W22" s="20">
        <f t="shared" si="9"/>
        <v>36</v>
      </c>
      <c r="X22" s="20">
        <f t="shared" si="9"/>
        <v>61</v>
      </c>
      <c r="Y22" s="20">
        <f t="shared" si="9"/>
        <v>44</v>
      </c>
    </row>
    <row r="23" spans="1:30" s="22" customFormat="1" x14ac:dyDescent="0.2">
      <c r="B23" s="28"/>
      <c r="C23" s="28"/>
      <c r="D23" s="28"/>
      <c r="E23" s="28"/>
      <c r="F23" s="28"/>
      <c r="G23" s="28"/>
      <c r="H23" s="28"/>
      <c r="I23" s="28"/>
      <c r="J23" s="28"/>
      <c r="K23" s="28"/>
      <c r="L23" s="28"/>
      <c r="M23" s="28"/>
      <c r="N23" s="20"/>
      <c r="O23" s="20"/>
      <c r="P23" s="20"/>
      <c r="Q23" s="20"/>
      <c r="R23" s="20"/>
      <c r="S23" s="20"/>
      <c r="T23" s="20"/>
      <c r="U23" s="20"/>
      <c r="V23" s="20"/>
      <c r="W23" s="20"/>
      <c r="X23" s="20"/>
      <c r="Y23" s="20"/>
    </row>
    <row r="24" spans="1:30" s="22" customFormat="1" x14ac:dyDescent="0.2">
      <c r="A24" s="22" t="s">
        <v>27</v>
      </c>
      <c r="B24" s="20">
        <f t="shared" ref="B24:N24" si="10">SUM(B22:E22)</f>
        <v>558.17499999999984</v>
      </c>
      <c r="C24" s="20">
        <f t="shared" si="10"/>
        <v>505.04699999999985</v>
      </c>
      <c r="D24" s="20">
        <f t="shared" si="10"/>
        <v>472.72199999999987</v>
      </c>
      <c r="E24" s="20">
        <f t="shared" si="10"/>
        <v>454</v>
      </c>
      <c r="F24" s="20">
        <f t="shared" si="10"/>
        <v>441</v>
      </c>
      <c r="G24" s="20">
        <f t="shared" si="10"/>
        <v>465</v>
      </c>
      <c r="H24" s="20">
        <f t="shared" si="10"/>
        <v>421</v>
      </c>
      <c r="I24" s="20">
        <f t="shared" si="10"/>
        <v>451</v>
      </c>
      <c r="J24" s="20">
        <f t="shared" si="10"/>
        <v>354</v>
      </c>
      <c r="K24" s="20">
        <f t="shared" si="10"/>
        <v>304</v>
      </c>
      <c r="L24" s="20">
        <f t="shared" si="10"/>
        <v>290</v>
      </c>
      <c r="M24" s="20">
        <f t="shared" si="10"/>
        <v>236</v>
      </c>
      <c r="N24" s="20">
        <f t="shared" si="10"/>
        <v>292</v>
      </c>
      <c r="O24" s="20">
        <f t="shared" ref="O24:V24" si="11">SUM(O22:R22)</f>
        <v>286</v>
      </c>
      <c r="P24" s="20">
        <f t="shared" si="11"/>
        <v>272</v>
      </c>
      <c r="Q24" s="20">
        <f t="shared" si="11"/>
        <v>282</v>
      </c>
      <c r="R24" s="20">
        <f t="shared" si="11"/>
        <v>236</v>
      </c>
      <c r="S24" s="20">
        <f t="shared" si="11"/>
        <v>223</v>
      </c>
      <c r="T24" s="20">
        <f t="shared" si="11"/>
        <v>226</v>
      </c>
      <c r="U24" s="20">
        <f t="shared" si="11"/>
        <v>194</v>
      </c>
      <c r="V24" s="20">
        <f t="shared" si="11"/>
        <v>171</v>
      </c>
      <c r="W24" s="20"/>
      <c r="X24" s="20"/>
      <c r="Y24" s="20"/>
    </row>
    <row r="25" spans="1:30"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v>0</v>
      </c>
      <c r="U25" s="27">
        <v>0</v>
      </c>
      <c r="V25" s="27">
        <v>0</v>
      </c>
      <c r="W25" s="27"/>
      <c r="X25" s="27"/>
      <c r="Y25" s="27"/>
      <c r="AB25" s="67"/>
      <c r="AC25" s="67"/>
    </row>
    <row r="26" spans="1:30"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6"/>
      <c r="X26" s="26"/>
      <c r="Y26" s="26"/>
      <c r="AB26" s="67"/>
      <c r="AC26" s="67"/>
      <c r="AD26" s="67"/>
    </row>
    <row r="27" spans="1:30" s="24" customFormat="1" x14ac:dyDescent="0.2">
      <c r="A27" s="22" t="s">
        <v>24</v>
      </c>
      <c r="B27" s="20">
        <f t="shared" ref="B27" si="12">SUM(B24:B26)</f>
        <v>558.17499999999984</v>
      </c>
      <c r="C27" s="20">
        <f t="shared" ref="C27:D27" si="13">SUM(C24:C26)</f>
        <v>505.04699999999985</v>
      </c>
      <c r="D27" s="20">
        <f t="shared" si="13"/>
        <v>472.72199999999987</v>
      </c>
      <c r="E27" s="20">
        <f t="shared" ref="E27:F27" si="14">SUM(E24:E26)</f>
        <v>454</v>
      </c>
      <c r="F27" s="20">
        <f t="shared" si="14"/>
        <v>441</v>
      </c>
      <c r="G27" s="20">
        <f t="shared" ref="G27:H27" si="15">SUM(G24:G26)</f>
        <v>465</v>
      </c>
      <c r="H27" s="20">
        <f t="shared" si="15"/>
        <v>421</v>
      </c>
      <c r="I27" s="20">
        <f t="shared" ref="I27:J27" si="16">SUM(I24:I26)</f>
        <v>451</v>
      </c>
      <c r="J27" s="20">
        <f t="shared" si="16"/>
        <v>354</v>
      </c>
      <c r="K27" s="20">
        <f t="shared" ref="K27:L27" si="17">SUM(K24:K26)</f>
        <v>304</v>
      </c>
      <c r="L27" s="20">
        <f t="shared" si="17"/>
        <v>290</v>
      </c>
      <c r="M27" s="20">
        <f t="shared" ref="M27:V27" si="18">SUM(M24:M26)</f>
        <v>236</v>
      </c>
      <c r="N27" s="20">
        <f t="shared" si="18"/>
        <v>292</v>
      </c>
      <c r="O27" s="20">
        <f t="shared" si="18"/>
        <v>286</v>
      </c>
      <c r="P27" s="20">
        <f t="shared" si="18"/>
        <v>272</v>
      </c>
      <c r="Q27" s="20">
        <f t="shared" si="18"/>
        <v>282</v>
      </c>
      <c r="R27" s="20">
        <f t="shared" si="18"/>
        <v>236</v>
      </c>
      <c r="S27" s="20">
        <f t="shared" si="18"/>
        <v>223</v>
      </c>
      <c r="T27" s="20">
        <f t="shared" si="18"/>
        <v>226</v>
      </c>
      <c r="U27" s="20">
        <f t="shared" si="18"/>
        <v>194</v>
      </c>
      <c r="V27" s="20">
        <f t="shared" si="18"/>
        <v>171</v>
      </c>
      <c r="W27" s="25"/>
      <c r="X27" s="25"/>
      <c r="Y27" s="25"/>
      <c r="AB27" s="68"/>
      <c r="AC27" s="68"/>
      <c r="AD27" s="68"/>
    </row>
    <row r="28" spans="1:30" s="23" customFormat="1" x14ac:dyDescent="0.2">
      <c r="AB28" s="67"/>
      <c r="AC28" s="67"/>
    </row>
    <row r="29" spans="1:30" s="22" customFormat="1" x14ac:dyDescent="0.2">
      <c r="A29" s="22" t="s">
        <v>23</v>
      </c>
      <c r="B29" s="20">
        <f t="shared" ref="B29:C29" si="19">B22</f>
        <v>128.12799999999999</v>
      </c>
      <c r="C29" s="20">
        <f t="shared" si="19"/>
        <v>137.32500000000002</v>
      </c>
      <c r="D29" s="20">
        <f t="shared" ref="D29:E29" si="20">D22</f>
        <v>125.72199999999985</v>
      </c>
      <c r="E29" s="20">
        <f t="shared" si="20"/>
        <v>167</v>
      </c>
      <c r="F29" s="20">
        <f t="shared" ref="F29:G29" si="21">F22</f>
        <v>75</v>
      </c>
      <c r="G29" s="20">
        <f t="shared" si="21"/>
        <v>105</v>
      </c>
      <c r="H29" s="20">
        <f t="shared" ref="H29:I29" si="22">H22</f>
        <v>107</v>
      </c>
      <c r="I29" s="20">
        <f t="shared" si="22"/>
        <v>154</v>
      </c>
      <c r="J29" s="20">
        <f t="shared" ref="J29:Y29" si="23">J22</f>
        <v>99</v>
      </c>
      <c r="K29" s="20">
        <f t="shared" si="23"/>
        <v>61</v>
      </c>
      <c r="L29" s="20">
        <f t="shared" si="23"/>
        <v>137</v>
      </c>
      <c r="M29" s="20">
        <f t="shared" si="23"/>
        <v>57</v>
      </c>
      <c r="N29" s="20">
        <f t="shared" si="23"/>
        <v>49</v>
      </c>
      <c r="O29" s="20">
        <f t="shared" si="23"/>
        <v>47</v>
      </c>
      <c r="P29" s="20">
        <f t="shared" si="23"/>
        <v>83</v>
      </c>
      <c r="Q29" s="20">
        <f t="shared" si="23"/>
        <v>113</v>
      </c>
      <c r="R29" s="20">
        <f t="shared" si="23"/>
        <v>43</v>
      </c>
      <c r="S29" s="20">
        <f t="shared" si="23"/>
        <v>33</v>
      </c>
      <c r="T29" s="20">
        <f t="shared" si="23"/>
        <v>93</v>
      </c>
      <c r="U29" s="20">
        <f t="shared" si="23"/>
        <v>67</v>
      </c>
      <c r="V29" s="20">
        <f t="shared" si="23"/>
        <v>30</v>
      </c>
      <c r="W29" s="20">
        <f t="shared" si="23"/>
        <v>36</v>
      </c>
      <c r="X29" s="20">
        <f t="shared" si="23"/>
        <v>61</v>
      </c>
      <c r="Y29" s="20">
        <f t="shared" si="23"/>
        <v>44</v>
      </c>
      <c r="AA29" s="66"/>
      <c r="AB29" s="66"/>
      <c r="AC29" s="66"/>
      <c r="AD29" s="66"/>
    </row>
    <row r="30" spans="1:30" s="11" customFormat="1" x14ac:dyDescent="0.2">
      <c r="A30" s="19" t="s">
        <v>22</v>
      </c>
      <c r="B30" s="19">
        <v>-24.753999999999998</v>
      </c>
      <c r="C30" s="19">
        <v>-17.664000000000001</v>
      </c>
      <c r="D30" s="19">
        <v>-28.069000000000003</v>
      </c>
      <c r="E30" s="19">
        <f>-74.928-F30-G30</f>
        <v>-26.59</v>
      </c>
      <c r="F30" s="19">
        <f>-48.338-G30</f>
        <v>-18.437000000000001</v>
      </c>
      <c r="G30" s="19">
        <v>-29.901</v>
      </c>
      <c r="H30" s="19">
        <v>-30.923000000000002</v>
      </c>
      <c r="I30" s="19">
        <f>-88.934-J30-K30</f>
        <v>-28.353999999999999</v>
      </c>
      <c r="J30" s="19">
        <f>-60.58-K30</f>
        <v>-29.704999999999998</v>
      </c>
      <c r="K30" s="19">
        <v>-30.875</v>
      </c>
      <c r="L30" s="19">
        <f>-120.054-M30-N30-O30</f>
        <v>-32.353999999999999</v>
      </c>
      <c r="M30" s="19">
        <f>-87.7-N30-O30</f>
        <v>-30.043000000000003</v>
      </c>
      <c r="N30" s="19">
        <f>-57.657-O30</f>
        <v>-29.484999999999996</v>
      </c>
      <c r="O30" s="19">
        <v>-28.172000000000001</v>
      </c>
      <c r="P30" s="19">
        <f>-115.019-S30-R30-Q30</f>
        <v>-27.903000000000006</v>
      </c>
      <c r="Q30" s="19">
        <f>-87.116-S30-R30</f>
        <v>-26.582999999999998</v>
      </c>
      <c r="R30" s="19">
        <f>-60.533-S30</f>
        <v>-25.242000000000004</v>
      </c>
      <c r="S30" s="19">
        <v>-35.290999999999997</v>
      </c>
      <c r="T30" s="19">
        <f>-11.91-26.804-W30-V30-U30</f>
        <v>-25.815999999999999</v>
      </c>
      <c r="U30" s="19">
        <f>-11.91-0.988-W30-V30</f>
        <v>-2.6189999999999998</v>
      </c>
      <c r="V30" s="19">
        <f>-10.279-W30</f>
        <v>-10.279</v>
      </c>
      <c r="W30" s="19">
        <v>0</v>
      </c>
      <c r="X30" s="19">
        <v>0</v>
      </c>
      <c r="Y30" s="19">
        <v>0</v>
      </c>
    </row>
    <row r="31" spans="1:30" s="11" customFormat="1" x14ac:dyDescent="0.2">
      <c r="A31" s="19" t="s">
        <v>21</v>
      </c>
      <c r="B31" s="19">
        <v>-4.5340000000000007</v>
      </c>
      <c r="C31" s="19">
        <v>-5.35</v>
      </c>
      <c r="D31" s="19">
        <v>-2.5279999999999996</v>
      </c>
      <c r="E31" s="19">
        <f>-7.656-F31-G31</f>
        <v>-2.3549999999999995</v>
      </c>
      <c r="F31" s="19">
        <f>-5.301-G31</f>
        <v>-2.375</v>
      </c>
      <c r="G31" s="19">
        <v>-2.9260000000000002</v>
      </c>
      <c r="H31" s="19">
        <v>-4.2960000000000012</v>
      </c>
      <c r="I31" s="19">
        <f>-9.379-J31-K31</f>
        <v>-2.8720000000000003</v>
      </c>
      <c r="J31" s="19">
        <f>-6.507-K31</f>
        <v>-3.4849999999999999</v>
      </c>
      <c r="K31" s="19">
        <v>-3.0219999999999998</v>
      </c>
      <c r="L31" s="19">
        <f>-18.638-M31-N31-O31</f>
        <v>-17.961000000000002</v>
      </c>
      <c r="M31" s="19">
        <f>-0.677-N31-O31</f>
        <v>9.9250000000000007</v>
      </c>
      <c r="N31" s="19">
        <f>-10.602-O31</f>
        <v>-5.4190000000000005</v>
      </c>
      <c r="O31" s="19">
        <v>-5.1829999999999998</v>
      </c>
      <c r="P31" s="19">
        <f>-16.113-Q31-R31-S31</f>
        <v>-15.851999999999999</v>
      </c>
      <c r="Q31" s="19">
        <f>-0.261-S31-R31</f>
        <v>-8.8000000000000023E-2</v>
      </c>
      <c r="R31" s="19">
        <f>-0.173-S31</f>
        <v>0</v>
      </c>
      <c r="S31" s="19">
        <v>-0.17299999999999999</v>
      </c>
      <c r="T31" s="19">
        <f>-0.131-0.033-W31-V31-U31</f>
        <v>-3.3000000000000002E-2</v>
      </c>
      <c r="U31" s="19">
        <f>-0.131-W31-V31</f>
        <v>2.5999999999999995E-2</v>
      </c>
      <c r="V31" s="19">
        <f>-0.157-W31</f>
        <v>-0.157</v>
      </c>
      <c r="W31" s="19">
        <v>0</v>
      </c>
      <c r="X31" s="19">
        <v>0</v>
      </c>
      <c r="Y31" s="19">
        <v>0</v>
      </c>
    </row>
    <row r="32" spans="1:30" s="11" customFormat="1" x14ac:dyDescent="0.2">
      <c r="A32" s="19" t="s">
        <v>20</v>
      </c>
      <c r="B32" s="19">
        <v>8.0929999999999964</v>
      </c>
      <c r="C32" s="19">
        <v>-22.427999999999997</v>
      </c>
      <c r="D32" s="19">
        <v>-13.36</v>
      </c>
      <c r="E32" s="19">
        <f>-9.081-21.27-8.2-5.744+20.206-3.562+45.624-1.126+0.705-F32-G32</f>
        <v>-35.491000000000007</v>
      </c>
      <c r="F32" s="19">
        <f>-1.448-6.745-4.824-9.217-8.965+0.452+84.205-0.769+0.354-G32</f>
        <v>54.881</v>
      </c>
      <c r="G32" s="19">
        <f>0.95-3.781-3.402-5.301-21.548+0.213+31.916-0.835-0.05</f>
        <v>-1.8379999999999994</v>
      </c>
      <c r="H32" s="19">
        <v>1.3300000000000054</v>
      </c>
      <c r="I32" s="19">
        <f>47.315+9.392-11.844+8.243-8.654-1.197+2.536+3.343-0.526-0.022-J32-K32</f>
        <v>-27.763000000000023</v>
      </c>
      <c r="J32" s="19">
        <f>64.649+1.209-4.976-3.448-16.86+2.226+33.696-0.145-0.002-K32</f>
        <v>52.322000000000017</v>
      </c>
      <c r="K32" s="19">
        <f>28.597+0.296-1.677-2.816-12.825+1.279+11.373-0.214+0.014</f>
        <v>24.027000000000005</v>
      </c>
      <c r="L32" s="19">
        <f>-8.779-27.882-17.336-0.086-0.24-0.465+7.548+0.084-M32-N32-O32</f>
        <v>-36.326000000000008</v>
      </c>
      <c r="M32" s="19">
        <f>30.525-13.654-14.441-7.687-16.406-4.528+15.348+0.013-N32-O32</f>
        <v>-11.418999999999997</v>
      </c>
      <c r="N32" s="19">
        <f>27.6-7.609-9.566-5.451-24.926-2.42+22.99-0.029-O32</f>
        <v>4.3619999999999983</v>
      </c>
      <c r="O32" s="19">
        <f>12.798-3.353-4.591-4.417-22.013-1.577+19.38</f>
        <v>-3.7729999999999997</v>
      </c>
      <c r="P32" s="19">
        <f>SUM({32.034;12.389;-19.595;0.667;-12.644;4.085;-8.616;-6.498})-S32-R32-Q32</f>
        <v>5.8030000000000044</v>
      </c>
      <c r="Q32" s="19">
        <f>SUM({-30.005;10.786;-13.56;-4.397;19.303;7.379;11.27;-4.757})-S32-R32</f>
        <v>-37.009000000000015</v>
      </c>
      <c r="R32" s="19">
        <f>63.417-3.43-9.447-5.879-30.667+3.286+14.791+0.957-S32</f>
        <v>-10.084999999999994</v>
      </c>
      <c r="S32" s="19">
        <f>57.715+0.263-4.19-0.337-30.765+0.933+17.873+1.621</f>
        <v>43.113000000000007</v>
      </c>
      <c r="T32" s="19">
        <f>SUM({24.723;-1.224;-25.246;31.774;-11.117;2.63;41.872;-3.146},{-49.937;-16.341;0.598;-6.351;22.882;0.578;-35.759;0.926})-W32-V32-U32</f>
        <v>-68.025999999999996</v>
      </c>
      <c r="U32" s="19">
        <f>SUM({24.723;-1.224;-25.246;31.774;-11.117;2.63;41.872},{-13.329;2.898;-2.829;-7.01;18.543;7.371;-24.168})-W32-V32</f>
        <v>17.876999999999995</v>
      </c>
      <c r="V32" s="19">
        <f>53.219-6.53-19.046-6.86-17.333+3.082+21.456-0.977-W32</f>
        <v>27.011000000000003</v>
      </c>
      <c r="W32" s="19">
        <v>0</v>
      </c>
      <c r="X32" s="19">
        <v>0</v>
      </c>
      <c r="Y32" s="19">
        <v>0</v>
      </c>
    </row>
    <row r="33" spans="1:28"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row>
    <row r="34" spans="1:28"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row>
    <row r="35" spans="1:28" s="20" customFormat="1" x14ac:dyDescent="0.2">
      <c r="A35" s="20" t="s">
        <v>17</v>
      </c>
      <c r="B35" s="20">
        <v>125.39100000000001</v>
      </c>
      <c r="C35" s="20">
        <v>72.543999999999997</v>
      </c>
      <c r="D35" s="20">
        <v>83.654999999999973</v>
      </c>
      <c r="E35" s="20">
        <f>267.583-F35-G35</f>
        <v>100.67700000000002</v>
      </c>
      <c r="F35" s="20">
        <f>166.906-G35</f>
        <v>98.594999999999999</v>
      </c>
      <c r="G35" s="20">
        <v>68.311000000000007</v>
      </c>
      <c r="H35" s="20">
        <v>76.403999999999996</v>
      </c>
      <c r="I35" s="20">
        <f>247.527-J35-K35</f>
        <v>92.391999999999996</v>
      </c>
      <c r="J35" s="20">
        <f>155.135-K35</f>
        <v>112.13299999999998</v>
      </c>
      <c r="K35" s="20">
        <v>43.002000000000002</v>
      </c>
      <c r="L35" s="20">
        <f>94.249-M35-N35-O35</f>
        <v>48.558000000000007</v>
      </c>
      <c r="M35" s="20">
        <f>45.691-N35-O35</f>
        <v>13.255000000000003</v>
      </c>
      <c r="N35" s="20">
        <f>32.436-O35</f>
        <v>24.151</v>
      </c>
      <c r="O35" s="20">
        <v>8.2850000000000001</v>
      </c>
      <c r="P35" s="20">
        <f>143.922-Q35-R35-S35</f>
        <v>52.753999999999991</v>
      </c>
      <c r="Q35" s="20">
        <f>91.168-S35-R35</f>
        <v>39.192000000000007</v>
      </c>
      <c r="R35" s="20">
        <f>51.976-S35</f>
        <v>8.7909999999999968</v>
      </c>
      <c r="S35" s="20">
        <v>43.185000000000002</v>
      </c>
      <c r="T35" s="20">
        <f>101.448-38.235-W35-V35-U35</f>
        <v>8.7240000000000038</v>
      </c>
      <c r="U35" s="20">
        <f>101.448-46.959-W35-V35</f>
        <v>-27.747000000000014</v>
      </c>
      <c r="V35" s="20">
        <f>82.236-W35</f>
        <v>82.236000000000004</v>
      </c>
      <c r="W35" s="20">
        <v>0</v>
      </c>
      <c r="X35" s="20">
        <v>0</v>
      </c>
      <c r="Y35" s="20">
        <v>0</v>
      </c>
    </row>
    <row r="36" spans="1:28" s="11" customFormat="1" x14ac:dyDescent="0.2">
      <c r="A36" s="19" t="s">
        <v>16</v>
      </c>
      <c r="B36" s="21">
        <v>-3.1180000000000003</v>
      </c>
      <c r="C36" s="21">
        <v>-2.0880000000000001</v>
      </c>
      <c r="D36" s="21">
        <v>-3.0670000000000002</v>
      </c>
      <c r="E36" s="21">
        <f>-17.65-0.538-F36-G36</f>
        <v>-10.712999999999997</v>
      </c>
      <c r="F36" s="21">
        <f>-7.1-0.375-G36</f>
        <v>-2.3869999999999996</v>
      </c>
      <c r="G36" s="21">
        <v>-5.0880000000000001</v>
      </c>
      <c r="H36" s="21">
        <v>-12.481999999999999</v>
      </c>
      <c r="I36" s="21">
        <f>-26.911-0.072-J36-K36</f>
        <v>-2.4920000000000009</v>
      </c>
      <c r="J36" s="21">
        <f>-24.391-0.1-K36</f>
        <v>-9.8019999999999996</v>
      </c>
      <c r="K36" s="21">
        <v>-14.689</v>
      </c>
      <c r="L36" s="21">
        <f>-51.827-0.411-M36-N36-O36</f>
        <v>-45.785000000000004</v>
      </c>
      <c r="M36" s="21">
        <f>-6.092-0.361-N36-O36</f>
        <v>-3.7349999999999994</v>
      </c>
      <c r="N36" s="21">
        <f>-2.556-0.162-O36</f>
        <v>-1.3699999999999999</v>
      </c>
      <c r="O36" s="21">
        <v>-1.3480000000000001</v>
      </c>
      <c r="P36" s="21">
        <f>-30.924-1.374-S36-R36-Q36</f>
        <v>-2.9269999999999996</v>
      </c>
      <c r="Q36" s="21">
        <f>-28.736-0.635-S36-R36</f>
        <v>-1.8060000000000009</v>
      </c>
      <c r="R36" s="21">
        <f>-27.565-S36</f>
        <v>-10.824000000000002</v>
      </c>
      <c r="S36" s="21">
        <v>-16.741</v>
      </c>
      <c r="T36" s="21">
        <f>-16.766-25.461-0.856-0.205-W36-V36-U36</f>
        <v>-17.393999999999995</v>
      </c>
      <c r="U36" s="21">
        <f>-11.432-6.19-8.105-0.167-W36-V36</f>
        <v>-9.3750000000000036</v>
      </c>
      <c r="V36" s="21">
        <f>-16.519-W36</f>
        <v>-16.518999999999998</v>
      </c>
      <c r="W36" s="21">
        <v>0</v>
      </c>
      <c r="X36" s="21">
        <v>0</v>
      </c>
      <c r="Y36" s="21">
        <v>0</v>
      </c>
    </row>
    <row r="37" spans="1:28" s="20" customFormat="1" x14ac:dyDescent="0.2">
      <c r="A37" s="20" t="s">
        <v>15</v>
      </c>
      <c r="B37" s="20">
        <f t="shared" ref="B37:Y37" si="24">+B35+B36</f>
        <v>122.27300000000001</v>
      </c>
      <c r="C37" s="20">
        <f t="shared" si="24"/>
        <v>70.456000000000003</v>
      </c>
      <c r="D37" s="20">
        <f t="shared" si="24"/>
        <v>80.587999999999965</v>
      </c>
      <c r="E37" s="20">
        <f t="shared" si="24"/>
        <v>89.964000000000027</v>
      </c>
      <c r="F37" s="20">
        <f t="shared" si="24"/>
        <v>96.207999999999998</v>
      </c>
      <c r="G37" s="20">
        <f t="shared" si="24"/>
        <v>63.223000000000006</v>
      </c>
      <c r="H37" s="20">
        <f t="shared" si="24"/>
        <v>63.921999999999997</v>
      </c>
      <c r="I37" s="20">
        <f t="shared" si="24"/>
        <v>89.899999999999991</v>
      </c>
      <c r="J37" s="20">
        <f t="shared" si="24"/>
        <v>102.33099999999999</v>
      </c>
      <c r="K37" s="20">
        <f t="shared" si="24"/>
        <v>28.313000000000002</v>
      </c>
      <c r="L37" s="20">
        <f t="shared" si="24"/>
        <v>2.7730000000000032</v>
      </c>
      <c r="M37" s="20">
        <f t="shared" si="24"/>
        <v>9.5200000000000031</v>
      </c>
      <c r="N37" s="20">
        <f t="shared" si="24"/>
        <v>22.780999999999999</v>
      </c>
      <c r="O37" s="20">
        <f t="shared" si="24"/>
        <v>6.9370000000000003</v>
      </c>
      <c r="P37" s="20">
        <f t="shared" si="24"/>
        <v>49.826999999999991</v>
      </c>
      <c r="Q37" s="20">
        <f t="shared" si="24"/>
        <v>37.38600000000001</v>
      </c>
      <c r="R37" s="20">
        <f t="shared" si="24"/>
        <v>-2.0330000000000048</v>
      </c>
      <c r="S37" s="20">
        <f t="shared" si="24"/>
        <v>26.444000000000003</v>
      </c>
      <c r="T37" s="20">
        <f t="shared" si="24"/>
        <v>-8.669999999999991</v>
      </c>
      <c r="U37" s="20">
        <f t="shared" si="24"/>
        <v>-37.122000000000014</v>
      </c>
      <c r="V37" s="20">
        <f t="shared" si="24"/>
        <v>65.717000000000013</v>
      </c>
      <c r="W37" s="20">
        <f t="shared" si="24"/>
        <v>0</v>
      </c>
      <c r="X37" s="20">
        <f t="shared" si="24"/>
        <v>0</v>
      </c>
      <c r="Y37" s="20">
        <f t="shared" si="24"/>
        <v>0</v>
      </c>
    </row>
    <row r="38" spans="1:28" x14ac:dyDescent="0.2">
      <c r="B38" s="11"/>
      <c r="C38" s="11"/>
      <c r="D38" s="11"/>
      <c r="E38" s="11"/>
      <c r="F38" s="11"/>
      <c r="G38" s="11"/>
      <c r="H38" s="11"/>
      <c r="I38" s="11"/>
      <c r="J38" s="11"/>
      <c r="K38" s="11"/>
      <c r="L38" s="11"/>
      <c r="M38" s="11"/>
      <c r="AA38" s="69"/>
      <c r="AB38" s="69"/>
    </row>
    <row r="39" spans="1:28" s="16" customFormat="1" x14ac:dyDescent="0.2">
      <c r="A39" s="18" t="s">
        <v>14</v>
      </c>
      <c r="B39" s="19">
        <v>0</v>
      </c>
      <c r="C39" s="19">
        <v>0</v>
      </c>
      <c r="D39" s="19">
        <v>0</v>
      </c>
      <c r="E39" s="19">
        <f>H39+300-150</f>
        <v>150</v>
      </c>
      <c r="F39" s="19">
        <f>H39+300-150</f>
        <v>150</v>
      </c>
      <c r="G39" s="19">
        <v>150</v>
      </c>
      <c r="H39" s="19">
        <v>0</v>
      </c>
      <c r="I39" s="19">
        <v>0</v>
      </c>
      <c r="J39" s="19">
        <v>0</v>
      </c>
      <c r="K39" s="19">
        <v>0</v>
      </c>
      <c r="L39" s="19">
        <v>0</v>
      </c>
      <c r="M39" s="19">
        <v>0</v>
      </c>
      <c r="N39" s="19">
        <v>0</v>
      </c>
      <c r="O39" s="19">
        <v>0</v>
      </c>
      <c r="P39" s="19">
        <v>0</v>
      </c>
      <c r="Q39" s="19">
        <v>0</v>
      </c>
      <c r="R39" s="19">
        <v>0</v>
      </c>
      <c r="S39" s="19">
        <v>0</v>
      </c>
      <c r="T39" s="19">
        <v>0</v>
      </c>
      <c r="U39" s="19">
        <v>0</v>
      </c>
      <c r="V39" s="19">
        <v>0</v>
      </c>
      <c r="W39" s="19"/>
      <c r="X39" s="19"/>
      <c r="Y39" s="19"/>
    </row>
    <row r="40" spans="1:28" s="16" customFormat="1" x14ac:dyDescent="0.2">
      <c r="A40" s="18" t="s">
        <v>13</v>
      </c>
      <c r="B40" s="19">
        <v>2252.9500000000003</v>
      </c>
      <c r="C40" s="19">
        <v>2440.5459999999998</v>
      </c>
      <c r="D40" s="19">
        <v>2447.0639999999999</v>
      </c>
      <c r="E40" s="19">
        <f>H40-19.575</f>
        <v>2302.2370000000001</v>
      </c>
      <c r="F40" s="19">
        <f>H40-12.8</f>
        <v>2309.0119999999997</v>
      </c>
      <c r="G40" s="19">
        <f>H40-6.4</f>
        <v>2315.4119999999998</v>
      </c>
      <c r="H40" s="19">
        <f>2321.812</f>
        <v>2321.8119999999999</v>
      </c>
      <c r="I40" s="19">
        <v>2323.183</v>
      </c>
      <c r="J40" s="19">
        <v>1868.3330000000001</v>
      </c>
      <c r="K40" s="19">
        <v>1877</v>
      </c>
      <c r="L40" s="19">
        <f>1442.304+39.867</f>
        <v>1482.171</v>
      </c>
      <c r="M40" s="19">
        <f>P40-11.066</f>
        <v>1449.681</v>
      </c>
      <c r="N40" s="19">
        <f>P40-7.378</f>
        <v>1453.3690000000001</v>
      </c>
      <c r="O40" s="19">
        <f>P40-3.689</f>
        <v>1457.058</v>
      </c>
      <c r="P40" s="19">
        <v>1460.7470000000001</v>
      </c>
      <c r="Q40" s="19">
        <f>Q41-425</f>
        <v>1407.183</v>
      </c>
      <c r="R40" s="19">
        <f>S40-2.398</f>
        <v>1369.6020000000001</v>
      </c>
      <c r="S40" s="19">
        <v>1372</v>
      </c>
      <c r="T40" s="19">
        <v>0</v>
      </c>
      <c r="U40" s="19">
        <v>0</v>
      </c>
      <c r="V40" s="19">
        <v>0</v>
      </c>
      <c r="W40" s="19"/>
      <c r="X40" s="19"/>
      <c r="Y40" s="19"/>
    </row>
    <row r="41" spans="1:28" s="16" customFormat="1" x14ac:dyDescent="0.2">
      <c r="A41" s="18" t="s">
        <v>12</v>
      </c>
      <c r="B41" s="19">
        <f t="shared" ref="B41" si="25">B39+B40</f>
        <v>2252.9500000000003</v>
      </c>
      <c r="C41" s="19">
        <f t="shared" ref="C41:D41" si="26">C39+C40</f>
        <v>2440.5459999999998</v>
      </c>
      <c r="D41" s="19">
        <f t="shared" si="26"/>
        <v>2447.0639999999999</v>
      </c>
      <c r="E41" s="19">
        <f t="shared" ref="E41:K41" si="27">E39+E40</f>
        <v>2452.2370000000001</v>
      </c>
      <c r="F41" s="19">
        <f t="shared" si="27"/>
        <v>2459.0119999999997</v>
      </c>
      <c r="G41" s="19">
        <f t="shared" si="27"/>
        <v>2465.4119999999998</v>
      </c>
      <c r="H41" s="19">
        <f t="shared" si="27"/>
        <v>2321.8119999999999</v>
      </c>
      <c r="I41" s="19">
        <f t="shared" si="27"/>
        <v>2323.183</v>
      </c>
      <c r="J41" s="19">
        <f t="shared" si="27"/>
        <v>1868.3330000000001</v>
      </c>
      <c r="K41" s="19">
        <f t="shared" si="27"/>
        <v>1877</v>
      </c>
      <c r="L41" s="19">
        <f>L39+L40+425</f>
        <v>1907.171</v>
      </c>
      <c r="M41" s="19">
        <f>M39+M40+425</f>
        <v>1874.681</v>
      </c>
      <c r="N41" s="19">
        <f>N39+N40+425</f>
        <v>1878.3690000000001</v>
      </c>
      <c r="O41" s="19">
        <f>O39+O40+425</f>
        <v>1882.058</v>
      </c>
      <c r="P41" s="19">
        <f>P39+P40+425</f>
        <v>1885.7470000000001</v>
      </c>
      <c r="Q41" s="19">
        <f>1823.412+8.771</f>
        <v>1832.183</v>
      </c>
      <c r="R41" s="19">
        <f>R39+R40+425</f>
        <v>1794.6020000000001</v>
      </c>
      <c r="S41" s="19">
        <f>S39+S40+425</f>
        <v>1797</v>
      </c>
      <c r="T41" s="19">
        <v>0</v>
      </c>
      <c r="U41" s="19">
        <v>0</v>
      </c>
      <c r="V41" s="19">
        <v>0</v>
      </c>
      <c r="W41" s="19"/>
      <c r="X41" s="19"/>
      <c r="Y41" s="19"/>
    </row>
    <row r="42" spans="1:28" s="16" customFormat="1" x14ac:dyDescent="0.2">
      <c r="A42" s="18" t="s">
        <v>11</v>
      </c>
      <c r="B42" s="17">
        <f t="shared" ref="B42:V42" si="28">400+1745</f>
        <v>2145</v>
      </c>
      <c r="C42" s="17">
        <f t="shared" si="28"/>
        <v>2145</v>
      </c>
      <c r="D42" s="17">
        <f t="shared" si="28"/>
        <v>2145</v>
      </c>
      <c r="E42" s="17">
        <f t="shared" si="28"/>
        <v>2145</v>
      </c>
      <c r="F42" s="17">
        <f t="shared" si="28"/>
        <v>2145</v>
      </c>
      <c r="G42" s="17">
        <f t="shared" si="28"/>
        <v>2145</v>
      </c>
      <c r="H42" s="17">
        <f t="shared" si="28"/>
        <v>2145</v>
      </c>
      <c r="I42" s="17">
        <f t="shared" si="28"/>
        <v>2145</v>
      </c>
      <c r="J42" s="17">
        <f t="shared" si="28"/>
        <v>2145</v>
      </c>
      <c r="K42" s="17">
        <f t="shared" si="28"/>
        <v>2145</v>
      </c>
      <c r="L42" s="17">
        <f t="shared" si="28"/>
        <v>2145</v>
      </c>
      <c r="M42" s="17">
        <f t="shared" si="28"/>
        <v>2145</v>
      </c>
      <c r="N42" s="17">
        <f t="shared" si="28"/>
        <v>2145</v>
      </c>
      <c r="O42" s="17">
        <f t="shared" si="28"/>
        <v>2145</v>
      </c>
      <c r="P42" s="17">
        <f t="shared" si="28"/>
        <v>2145</v>
      </c>
      <c r="Q42" s="17">
        <f t="shared" si="28"/>
        <v>2145</v>
      </c>
      <c r="R42" s="17">
        <f t="shared" si="28"/>
        <v>2145</v>
      </c>
      <c r="S42" s="17">
        <f t="shared" si="28"/>
        <v>2145</v>
      </c>
      <c r="T42" s="17">
        <f t="shared" si="28"/>
        <v>2145</v>
      </c>
      <c r="U42" s="17">
        <f t="shared" si="28"/>
        <v>2145</v>
      </c>
      <c r="V42" s="17">
        <f t="shared" si="28"/>
        <v>2145</v>
      </c>
      <c r="W42" s="17"/>
      <c r="X42" s="17"/>
      <c r="Y42" s="17"/>
    </row>
    <row r="43" spans="1:28" x14ac:dyDescent="0.2">
      <c r="B43" s="16"/>
      <c r="C43" s="16"/>
      <c r="D43" s="16"/>
      <c r="E43" s="16"/>
      <c r="F43" s="16"/>
      <c r="G43" s="16"/>
      <c r="H43" s="16"/>
      <c r="I43" s="16"/>
      <c r="J43" s="16"/>
      <c r="K43" s="16"/>
      <c r="L43" s="16"/>
      <c r="M43" s="16"/>
      <c r="N43" s="16"/>
      <c r="O43" s="16"/>
      <c r="P43" s="16"/>
      <c r="Q43" s="16"/>
      <c r="R43" s="16"/>
      <c r="S43" s="16"/>
      <c r="T43" s="16"/>
    </row>
    <row r="44" spans="1:28" x14ac:dyDescent="0.2">
      <c r="A44" s="15" t="s">
        <v>10</v>
      </c>
      <c r="B44" s="27">
        <v>274.97899999999998</v>
      </c>
      <c r="C44" s="27">
        <v>345.80099999999999</v>
      </c>
      <c r="D44" s="27">
        <v>282.19900000000001</v>
      </c>
      <c r="E44" s="27">
        <v>316.65600000000001</v>
      </c>
      <c r="F44" s="27">
        <v>234.197</v>
      </c>
      <c r="G44" s="27">
        <v>158.93</v>
      </c>
      <c r="H44" s="27">
        <v>152.34899999999999</v>
      </c>
      <c r="I44" s="27">
        <v>97.418000000000006</v>
      </c>
      <c r="J44" s="27">
        <v>183.45</v>
      </c>
      <c r="K44" s="27">
        <v>91.206999999999994</v>
      </c>
      <c r="L44" s="27">
        <v>91.83</v>
      </c>
      <c r="M44" s="27">
        <v>61.512999999999998</v>
      </c>
      <c r="N44" s="27">
        <v>56.720999999999997</v>
      </c>
      <c r="O44" s="27">
        <v>49.951000000000001</v>
      </c>
      <c r="P44" s="27">
        <v>49.390999999999998</v>
      </c>
      <c r="Q44" s="27">
        <v>176.274</v>
      </c>
      <c r="R44" s="27">
        <v>147.85300000000001</v>
      </c>
      <c r="S44" s="27">
        <v>58.478999999999999</v>
      </c>
      <c r="T44" s="27">
        <v>37.244</v>
      </c>
      <c r="U44" s="27">
        <v>41.676000000000002</v>
      </c>
      <c r="V44" s="27">
        <v>28.702999999999999</v>
      </c>
      <c r="W44" s="27"/>
      <c r="X44" s="27"/>
      <c r="Y44" s="27"/>
    </row>
    <row r="46" spans="1:28" x14ac:dyDescent="0.2">
      <c r="A46" s="1" t="s">
        <v>9</v>
      </c>
      <c r="B46" s="11">
        <f t="shared" ref="B46:N46" si="29">SUM(B12:E12)</f>
        <v>1052.0529999999999</v>
      </c>
      <c r="C46" s="11">
        <f t="shared" si="29"/>
        <v>953.68799999999987</v>
      </c>
      <c r="D46" s="11">
        <f t="shared" si="29"/>
        <v>891.87599999999998</v>
      </c>
      <c r="E46" s="11">
        <f t="shared" si="29"/>
        <v>845.72199999999998</v>
      </c>
      <c r="F46" s="11">
        <f t="shared" si="29"/>
        <v>842.19600000000003</v>
      </c>
      <c r="G46" s="11">
        <f t="shared" si="29"/>
        <v>894.61199999999997</v>
      </c>
      <c r="H46" s="11">
        <f t="shared" si="29"/>
        <v>838.23400000000004</v>
      </c>
      <c r="I46" s="11">
        <f t="shared" si="29"/>
        <v>901.06099999999992</v>
      </c>
      <c r="J46" s="11">
        <f t="shared" si="29"/>
        <v>764.91599999999994</v>
      </c>
      <c r="K46" s="11">
        <f t="shared" si="29"/>
        <v>709.42899999999986</v>
      </c>
      <c r="L46" s="11">
        <f t="shared" si="29"/>
        <v>687.27599999999984</v>
      </c>
      <c r="M46" s="11">
        <f t="shared" si="29"/>
        <v>615.06499999999994</v>
      </c>
      <c r="N46" s="11">
        <f t="shared" si="29"/>
        <v>769.96399999999994</v>
      </c>
      <c r="O46" s="11">
        <f t="shared" ref="O46:V46" si="30">SUM(O12:R12)</f>
        <v>766.42200000000003</v>
      </c>
      <c r="P46" s="11">
        <f t="shared" si="30"/>
        <v>744.73099999999999</v>
      </c>
      <c r="Q46" s="11">
        <f t="shared" si="30"/>
        <v>772.09500000000003</v>
      </c>
      <c r="R46" s="11">
        <f t="shared" si="30"/>
        <v>689.90200000000004</v>
      </c>
      <c r="S46" s="11">
        <f t="shared" si="30"/>
        <v>679.21299999999997</v>
      </c>
      <c r="T46" s="11">
        <f t="shared" si="30"/>
        <v>702.51</v>
      </c>
      <c r="U46" s="11">
        <f t="shared" si="30"/>
        <v>661.53</v>
      </c>
      <c r="V46" s="11">
        <f t="shared" si="30"/>
        <v>589.96900000000005</v>
      </c>
    </row>
    <row r="47" spans="1:28" x14ac:dyDescent="0.2">
      <c r="A47" s="1" t="s">
        <v>8</v>
      </c>
      <c r="B47" s="11">
        <f t="shared" ref="B47" si="31">+B27</f>
        <v>558.17499999999984</v>
      </c>
      <c r="C47" s="11">
        <f t="shared" ref="C47:D47" si="32">+C27</f>
        <v>505.04699999999985</v>
      </c>
      <c r="D47" s="11">
        <f t="shared" si="32"/>
        <v>472.72199999999987</v>
      </c>
      <c r="E47" s="11">
        <f t="shared" ref="E47:F47" si="33">+E27</f>
        <v>454</v>
      </c>
      <c r="F47" s="11">
        <f t="shared" si="33"/>
        <v>441</v>
      </c>
      <c r="G47" s="11">
        <f t="shared" ref="G47:H47" si="34">+G27</f>
        <v>465</v>
      </c>
      <c r="H47" s="11">
        <f t="shared" si="34"/>
        <v>421</v>
      </c>
      <c r="I47" s="11">
        <f t="shared" ref="I47:J47" si="35">+I27</f>
        <v>451</v>
      </c>
      <c r="J47" s="11">
        <f t="shared" si="35"/>
        <v>354</v>
      </c>
      <c r="K47" s="11">
        <f t="shared" ref="K47:L47" si="36">+K27</f>
        <v>304</v>
      </c>
      <c r="L47" s="11">
        <f t="shared" si="36"/>
        <v>290</v>
      </c>
      <c r="M47" s="11">
        <f t="shared" ref="M47:V47" si="37">+M27</f>
        <v>236</v>
      </c>
      <c r="N47" s="11">
        <f t="shared" si="37"/>
        <v>292</v>
      </c>
      <c r="O47" s="11">
        <f t="shared" si="37"/>
        <v>286</v>
      </c>
      <c r="P47" s="11">
        <f t="shared" si="37"/>
        <v>272</v>
      </c>
      <c r="Q47" s="11">
        <f t="shared" si="37"/>
        <v>282</v>
      </c>
      <c r="R47" s="11">
        <f t="shared" si="37"/>
        <v>236</v>
      </c>
      <c r="S47" s="11">
        <f t="shared" si="37"/>
        <v>223</v>
      </c>
      <c r="T47" s="11">
        <f t="shared" si="37"/>
        <v>226</v>
      </c>
      <c r="U47" s="11">
        <f t="shared" si="37"/>
        <v>194</v>
      </c>
      <c r="V47" s="11">
        <f t="shared" si="37"/>
        <v>171</v>
      </c>
    </row>
    <row r="48" spans="1:28" x14ac:dyDescent="0.2">
      <c r="A48" s="1" t="s">
        <v>7</v>
      </c>
      <c r="B48" s="11">
        <f t="shared" ref="B48:N48" si="38">+SUM(B37:E37)</f>
        <v>363.28100000000006</v>
      </c>
      <c r="C48" s="11">
        <f t="shared" si="38"/>
        <v>337.21600000000001</v>
      </c>
      <c r="D48" s="11">
        <f t="shared" si="38"/>
        <v>329.983</v>
      </c>
      <c r="E48" s="11">
        <f t="shared" si="38"/>
        <v>313.31700000000001</v>
      </c>
      <c r="F48" s="11">
        <f t="shared" si="38"/>
        <v>313.25299999999999</v>
      </c>
      <c r="G48" s="11">
        <f t="shared" si="38"/>
        <v>319.37599999999998</v>
      </c>
      <c r="H48" s="11">
        <f t="shared" si="38"/>
        <v>284.46600000000001</v>
      </c>
      <c r="I48" s="11">
        <f t="shared" si="38"/>
        <v>223.31699999999998</v>
      </c>
      <c r="J48" s="11">
        <f t="shared" si="38"/>
        <v>142.93700000000001</v>
      </c>
      <c r="K48" s="11">
        <f t="shared" si="38"/>
        <v>63.387000000000008</v>
      </c>
      <c r="L48" s="11">
        <f t="shared" si="38"/>
        <v>42.011000000000003</v>
      </c>
      <c r="M48" s="11">
        <f t="shared" si="38"/>
        <v>89.064999999999998</v>
      </c>
      <c r="N48" s="11">
        <f t="shared" si="38"/>
        <v>116.931</v>
      </c>
      <c r="O48" s="11">
        <f t="shared" ref="O48" si="39">+SUM(O37:R37)</f>
        <v>92.117000000000004</v>
      </c>
      <c r="P48" s="11">
        <f t="shared" ref="P48:V48" si="40">+SUM(P37:S37)</f>
        <v>111.624</v>
      </c>
      <c r="Q48" s="11">
        <f t="shared" si="40"/>
        <v>53.127000000000024</v>
      </c>
      <c r="R48" s="11">
        <f t="shared" si="40"/>
        <v>-21.381000000000007</v>
      </c>
      <c r="S48" s="11">
        <f t="shared" si="40"/>
        <v>46.369000000000014</v>
      </c>
      <c r="T48" s="11">
        <f t="shared" si="40"/>
        <v>19.925000000000011</v>
      </c>
      <c r="U48" s="11">
        <f t="shared" si="40"/>
        <v>28.594999999999999</v>
      </c>
      <c r="V48" s="11">
        <f t="shared" si="40"/>
        <v>65.717000000000013</v>
      </c>
    </row>
    <row r="50" spans="1:25" s="10" customFormat="1" x14ac:dyDescent="0.2">
      <c r="A50" s="10" t="s">
        <v>6</v>
      </c>
      <c r="B50" s="10">
        <f t="shared" ref="B50" si="41">+SUM(B39:B40)/B47</f>
        <v>4.0362789447753853</v>
      </c>
      <c r="C50" s="10">
        <f t="shared" ref="C50:D50" si="42">+SUM(C39:C40)/C47</f>
        <v>4.8323146162634378</v>
      </c>
      <c r="D50" s="10">
        <f t="shared" si="42"/>
        <v>5.1765392767842426</v>
      </c>
      <c r="E50" s="10">
        <f t="shared" ref="E50:F50" si="43">+SUM(E39:E40)/E47</f>
        <v>5.4014030837004405</v>
      </c>
      <c r="F50" s="10">
        <f t="shared" si="43"/>
        <v>5.575990929705215</v>
      </c>
      <c r="G50" s="10">
        <f t="shared" ref="G50:H50" si="44">+SUM(G39:G40)/G47</f>
        <v>5.3019612903225806</v>
      </c>
      <c r="H50" s="10">
        <f t="shared" si="44"/>
        <v>5.5149928741092635</v>
      </c>
      <c r="I50" s="10">
        <f t="shared" ref="I50:J50" si="45">+SUM(I39:I40)/I47</f>
        <v>5.1511818181818185</v>
      </c>
      <c r="J50" s="10">
        <f t="shared" si="45"/>
        <v>5.2777768361581927</v>
      </c>
      <c r="K50" s="10">
        <f t="shared" ref="K50:L50" si="46">+SUM(K39:K40)/K47</f>
        <v>6.1743421052631575</v>
      </c>
      <c r="L50" s="10">
        <f t="shared" si="46"/>
        <v>5.1109344827586209</v>
      </c>
      <c r="M50" s="10">
        <f t="shared" ref="M50:V50" si="47">+SUM(M39:M40)/M47</f>
        <v>6.1427161016949157</v>
      </c>
      <c r="N50" s="10">
        <f t="shared" si="47"/>
        <v>4.9772910958904113</v>
      </c>
      <c r="O50" s="10">
        <f t="shared" si="47"/>
        <v>5.094608391608392</v>
      </c>
      <c r="P50" s="10">
        <f t="shared" si="47"/>
        <v>5.3703933823529413</v>
      </c>
      <c r="Q50" s="10">
        <f t="shared" si="47"/>
        <v>4.9900106382978722</v>
      </c>
      <c r="R50" s="10">
        <f t="shared" si="47"/>
        <v>5.8033983050847464</v>
      </c>
      <c r="S50" s="10">
        <f t="shared" si="47"/>
        <v>6.1524663677130045</v>
      </c>
      <c r="T50" s="10">
        <f t="shared" si="47"/>
        <v>0</v>
      </c>
      <c r="U50" s="10">
        <f t="shared" si="47"/>
        <v>0</v>
      </c>
      <c r="V50" s="10">
        <f t="shared" si="47"/>
        <v>0</v>
      </c>
    </row>
    <row r="51" spans="1:25" s="10" customFormat="1" x14ac:dyDescent="0.2">
      <c r="A51" s="10" t="s">
        <v>5</v>
      </c>
      <c r="B51" s="10">
        <f t="shared" ref="B51" si="48">+B41/B47</f>
        <v>4.0362789447753853</v>
      </c>
      <c r="C51" s="10">
        <f t="shared" ref="C51:D51" si="49">+C41/C47</f>
        <v>4.8323146162634378</v>
      </c>
      <c r="D51" s="10">
        <f t="shared" si="49"/>
        <v>5.1765392767842426</v>
      </c>
      <c r="E51" s="10">
        <f t="shared" ref="E51:F51" si="50">+E41/E47</f>
        <v>5.4014030837004405</v>
      </c>
      <c r="F51" s="10">
        <f t="shared" si="50"/>
        <v>5.575990929705215</v>
      </c>
      <c r="G51" s="10">
        <f t="shared" ref="G51:H51" si="51">+G41/G47</f>
        <v>5.3019612903225806</v>
      </c>
      <c r="H51" s="10">
        <f t="shared" si="51"/>
        <v>5.5149928741092635</v>
      </c>
      <c r="I51" s="10">
        <f t="shared" ref="I51:J51" si="52">+I41/I47</f>
        <v>5.1511818181818185</v>
      </c>
      <c r="J51" s="10">
        <f t="shared" si="52"/>
        <v>5.2777768361581927</v>
      </c>
      <c r="K51" s="10">
        <f t="shared" ref="K51:L51" si="53">+K41/K47</f>
        <v>6.1743421052631575</v>
      </c>
      <c r="L51" s="10">
        <f t="shared" si="53"/>
        <v>6.5764517241379314</v>
      </c>
      <c r="M51" s="10">
        <f t="shared" ref="M51:V51" si="54">+M41/M47</f>
        <v>7.9435635593220342</v>
      </c>
      <c r="N51" s="10">
        <f t="shared" si="54"/>
        <v>6.4327705479452062</v>
      </c>
      <c r="O51" s="10">
        <f t="shared" si="54"/>
        <v>6.5806223776223778</v>
      </c>
      <c r="P51" s="10">
        <f t="shared" si="54"/>
        <v>6.9328933823529413</v>
      </c>
      <c r="Q51" s="10">
        <f t="shared" si="54"/>
        <v>6.4971028368794324</v>
      </c>
      <c r="R51" s="10">
        <f t="shared" si="54"/>
        <v>7.6042457627118649</v>
      </c>
      <c r="S51" s="10">
        <f t="shared" si="54"/>
        <v>8.0582959641255609</v>
      </c>
      <c r="T51" s="10">
        <f t="shared" si="54"/>
        <v>0</v>
      </c>
      <c r="U51" s="10">
        <f t="shared" si="54"/>
        <v>0</v>
      </c>
      <c r="V51" s="10">
        <f t="shared" si="54"/>
        <v>0</v>
      </c>
    </row>
    <row r="52" spans="1:25" s="10" customFormat="1" x14ac:dyDescent="0.2">
      <c r="A52" s="10" t="s">
        <v>4</v>
      </c>
      <c r="B52" s="10">
        <f t="shared" ref="B52" si="55">+(B41-B44)/B47</f>
        <v>3.5436395395709246</v>
      </c>
      <c r="C52" s="10">
        <f t="shared" ref="C52:D52" si="56">+(C41-C44)/C47</f>
        <v>4.1476238845097591</v>
      </c>
      <c r="D52" s="10">
        <f t="shared" si="56"/>
        <v>4.5795731952394858</v>
      </c>
      <c r="E52" s="10">
        <f t="shared" ref="E52:F52" si="57">+(E41-E44)/E47</f>
        <v>4.7039229074889874</v>
      </c>
      <c r="F52" s="10">
        <f t="shared" si="57"/>
        <v>5.0449319727891151</v>
      </c>
      <c r="G52" s="10">
        <f t="shared" ref="G52:H52" si="58">+(G41-G44)/G47</f>
        <v>4.9601763440860216</v>
      </c>
      <c r="H52" s="10">
        <f t="shared" si="58"/>
        <v>5.1531187648456047</v>
      </c>
      <c r="I52" s="10">
        <f t="shared" ref="I52:J52" si="59">+(I41-I44)/I47</f>
        <v>4.9351773835920172</v>
      </c>
      <c r="J52" s="10">
        <f t="shared" si="59"/>
        <v>4.759556497175141</v>
      </c>
      <c r="K52" s="10">
        <f t="shared" ref="K52:L52" si="60">+(K41-K44)/K47</f>
        <v>5.8743190789473685</v>
      </c>
      <c r="L52" s="10">
        <f t="shared" si="60"/>
        <v>6.2597965517241381</v>
      </c>
      <c r="M52" s="10">
        <f t="shared" ref="M52:V52" si="61">+(M41-M44)/M47</f>
        <v>7.6829152542372885</v>
      </c>
      <c r="N52" s="10">
        <f t="shared" si="61"/>
        <v>6.2385205479452059</v>
      </c>
      <c r="O52" s="10">
        <f t="shared" si="61"/>
        <v>6.4059685314685311</v>
      </c>
      <c r="P52" s="10">
        <f t="shared" si="61"/>
        <v>6.7513088235294116</v>
      </c>
      <c r="Q52" s="10">
        <f t="shared" si="61"/>
        <v>5.872017730496454</v>
      </c>
      <c r="R52" s="10">
        <f t="shared" si="61"/>
        <v>6.9777500000000003</v>
      </c>
      <c r="S52" s="10">
        <f t="shared" si="61"/>
        <v>7.7960582959641256</v>
      </c>
      <c r="T52" s="10">
        <f t="shared" si="61"/>
        <v>-0.16479646017699115</v>
      </c>
      <c r="U52" s="10">
        <f t="shared" si="61"/>
        <v>-0.21482474226804124</v>
      </c>
      <c r="V52" s="10">
        <f t="shared" si="61"/>
        <v>-0.16785380116959064</v>
      </c>
    </row>
    <row r="53" spans="1:25" s="6" customFormat="1" x14ac:dyDescent="0.2">
      <c r="A53" s="6" t="s">
        <v>3</v>
      </c>
      <c r="B53" s="6">
        <f t="shared" ref="B53" si="62">+B48/B41</f>
        <v>0.16124680973834307</v>
      </c>
      <c r="C53" s="6">
        <f t="shared" ref="C53:D53" si="63">+C48/C41</f>
        <v>0.1381723597916204</v>
      </c>
      <c r="D53" s="6">
        <f t="shared" si="63"/>
        <v>0.13484853685886436</v>
      </c>
      <c r="E53" s="6">
        <f t="shared" ref="E53:F53" si="64">+E48/E41</f>
        <v>0.12776782994465868</v>
      </c>
      <c r="F53" s="6">
        <f t="shared" si="64"/>
        <v>0.12738978093640863</v>
      </c>
      <c r="G53" s="6">
        <f t="shared" ref="G53:H53" si="65">+G48/G41</f>
        <v>0.12954264844983313</v>
      </c>
      <c r="H53" s="6">
        <f t="shared" si="65"/>
        <v>0.12251896363702144</v>
      </c>
      <c r="I53" s="6">
        <f t="shared" ref="I53:J53" si="66">+I48/I41</f>
        <v>9.6125445132819926E-2</v>
      </c>
      <c r="J53" s="6">
        <f t="shared" si="66"/>
        <v>7.6505098395200435E-2</v>
      </c>
      <c r="K53" s="6">
        <f t="shared" ref="K53:L53" si="67">+K48/K41</f>
        <v>3.3770378263185942E-2</v>
      </c>
      <c r="L53" s="6">
        <f t="shared" si="67"/>
        <v>2.2027914644255811E-2</v>
      </c>
      <c r="M53" s="6">
        <f t="shared" ref="M53:S53" si="68">+M48/M41</f>
        <v>4.7509416268687842E-2</v>
      </c>
      <c r="N53" s="6">
        <f t="shared" si="68"/>
        <v>6.22513467801055E-2</v>
      </c>
      <c r="O53" s="6">
        <f t="shared" si="68"/>
        <v>4.8944825292312991E-2</v>
      </c>
      <c r="P53" s="6">
        <f t="shared" si="68"/>
        <v>5.9193518536685988E-2</v>
      </c>
      <c r="Q53" s="6">
        <f t="shared" si="68"/>
        <v>2.8996557658268866E-2</v>
      </c>
      <c r="R53" s="6">
        <f t="shared" si="68"/>
        <v>-1.1914062282333356E-2</v>
      </c>
      <c r="S53" s="6">
        <f t="shared" si="68"/>
        <v>2.580356149137452E-2</v>
      </c>
    </row>
    <row r="54" spans="1:25" s="6" customFormat="1" x14ac:dyDescent="0.2">
      <c r="A54" s="8" t="s">
        <v>2</v>
      </c>
      <c r="B54" s="9"/>
      <c r="C54" s="9"/>
      <c r="D54" s="9"/>
      <c r="E54" s="9"/>
      <c r="F54" s="9"/>
      <c r="G54" s="9"/>
      <c r="H54" s="9"/>
      <c r="I54" s="9"/>
      <c r="J54" s="9"/>
      <c r="K54" s="9"/>
      <c r="L54" s="9"/>
      <c r="M54" s="9"/>
      <c r="N54" s="9"/>
      <c r="O54" s="9"/>
      <c r="P54" s="9"/>
      <c r="Q54" s="9"/>
      <c r="R54" s="9"/>
      <c r="S54" s="9"/>
      <c r="T54" s="9"/>
      <c r="U54" s="9"/>
      <c r="V54" s="9"/>
      <c r="W54" s="8"/>
      <c r="X54" s="8"/>
      <c r="Y54" s="8"/>
    </row>
    <row r="55" spans="1:25" s="6" customFormat="1" x14ac:dyDescent="0.2">
      <c r="A55" s="6" t="s">
        <v>1</v>
      </c>
      <c r="B55" s="7">
        <f t="shared" ref="B55" si="69">IF(B42=0,IF(B54="","","*"&amp;TEXT(B54,"0.0x")),(B41+B42-B44)/B47)</f>
        <v>7.3865203565190161</v>
      </c>
      <c r="C55" s="7">
        <f t="shared" ref="C55:D55" si="70">IF(C42=0,IF(C54="","","*"&amp;TEXT(C54,"0.0x")),(C41+C42-C44)/C47)</f>
        <v>8.3947533595883179</v>
      </c>
      <c r="D55" s="7">
        <f t="shared" si="70"/>
        <v>9.1171238063809206</v>
      </c>
      <c r="E55" s="7">
        <f t="shared" ref="E55:F55" si="71">IF(E42=0,IF(E54="","","*"&amp;TEXT(E54,"0.0x")),(E41+E42-E44)/E47)</f>
        <v>9.4285925110132158</v>
      </c>
      <c r="F55" s="7">
        <f t="shared" si="71"/>
        <v>9.9088775510204066</v>
      </c>
      <c r="G55" s="7">
        <f t="shared" ref="G55:H55" si="72">IF(G42=0,IF(G54="","","*"&amp;TEXT(G54,"0.0x")),(G41+G42-G44)/G47)</f>
        <v>9.5730795698924727</v>
      </c>
      <c r="H55" s="7">
        <f t="shared" si="72"/>
        <v>10.248130641330166</v>
      </c>
      <c r="I55" s="7">
        <f t="shared" ref="I55:J55" si="73">IF(I42=0,IF(I54="","","*"&amp;TEXT(I54,"0.0x")),(I41+I42-I44)/I47)</f>
        <v>9.6912749445676276</v>
      </c>
      <c r="J55" s="7">
        <f t="shared" si="73"/>
        <v>10.818878531073446</v>
      </c>
      <c r="K55" s="7">
        <f t="shared" ref="K55:L55" si="74">IF(K42=0,IF(K54="","","*"&amp;TEXT(K54,"0.0x")),(K41+K42-K44)/K47)</f>
        <v>12.930240131578948</v>
      </c>
      <c r="L55" s="7">
        <f t="shared" si="74"/>
        <v>13.65634827586207</v>
      </c>
      <c r="M55" s="7">
        <f t="shared" ref="M55:V55" si="75">IF(M42=0,IF(M54="","","*"&amp;TEXT(M54,"0.0x")),(M41+M42-M44)/M47)</f>
        <v>16.771898305084747</v>
      </c>
      <c r="N55" s="7">
        <f t="shared" si="75"/>
        <v>13.58441095890411</v>
      </c>
      <c r="O55" s="7">
        <f t="shared" si="75"/>
        <v>13.905968531468531</v>
      </c>
      <c r="P55" s="7">
        <f t="shared" si="75"/>
        <v>14.637338235294118</v>
      </c>
      <c r="Q55" s="7">
        <f t="shared" si="75"/>
        <v>13.478400709219859</v>
      </c>
      <c r="R55" s="7">
        <f t="shared" si="75"/>
        <v>16.066733050847457</v>
      </c>
      <c r="S55" s="7">
        <f t="shared" si="75"/>
        <v>17.414892376681614</v>
      </c>
      <c r="T55" s="7">
        <f t="shared" si="75"/>
        <v>9.3263539823008852</v>
      </c>
      <c r="U55" s="7">
        <f t="shared" si="75"/>
        <v>10.841876288659794</v>
      </c>
      <c r="V55" s="7">
        <f t="shared" si="75"/>
        <v>12.376005847953216</v>
      </c>
      <c r="W55" s="7" t="str">
        <f>IF(W42=0,IF(W54="","",CONCATENATE("* ",W54,"x")),(W41+W42-W44)/W47)</f>
        <v/>
      </c>
      <c r="X55" s="7" t="str">
        <f>IF(X42=0,IF(X54="","",CONCATENATE("* ",X54,"x")),(X41+X42-X44)/X47)</f>
        <v/>
      </c>
      <c r="Y55" s="7" t="str">
        <f>IF(Y42=0,IF(Y54="","",CONCATENATE("* ",Y54,"x")),(Y41+Y42-Y44)/Y47)</f>
        <v/>
      </c>
    </row>
    <row r="56" spans="1:25" x14ac:dyDescent="0.2">
      <c r="V56" s="3"/>
    </row>
    <row r="57" spans="1:25" ht="80.25" customHeight="1" x14ac:dyDescent="0.2">
      <c r="A57" s="5" t="s">
        <v>0</v>
      </c>
      <c r="B57" s="4" t="s">
        <v>104</v>
      </c>
      <c r="C57" s="4" t="s">
        <v>104</v>
      </c>
      <c r="D57" s="4" t="s">
        <v>104</v>
      </c>
      <c r="E57" s="4" t="s">
        <v>492</v>
      </c>
      <c r="F57" s="4" t="s">
        <v>492</v>
      </c>
      <c r="G57" s="4" t="s">
        <v>492</v>
      </c>
      <c r="H57" s="4" t="s">
        <v>492</v>
      </c>
      <c r="I57" s="4" t="s">
        <v>367</v>
      </c>
      <c r="J57" s="4" t="s">
        <v>369</v>
      </c>
      <c r="K57" s="4" t="s">
        <v>369</v>
      </c>
      <c r="L57" s="4" t="s">
        <v>235</v>
      </c>
      <c r="M57" s="4"/>
      <c r="N57" s="4"/>
      <c r="O57" s="4"/>
      <c r="P57" s="4"/>
      <c r="Q57" s="4"/>
      <c r="R57" s="4" t="s">
        <v>208</v>
      </c>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Q46:V52 Q54:V54 Q53:S53 D46:H47" formulaRange="1"/>
    <ignoredError sqref="P22 L22 H22" formula="1"/>
  </ignoredErrors>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2:AG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5" width="10.7109375" style="1" customWidth="1"/>
    <col min="26" max="30" width="9.140625" style="1"/>
    <col min="31" max="31" width="10.85546875" style="1" bestFit="1" customWidth="1"/>
    <col min="32" max="16384" width="9.140625" style="1"/>
  </cols>
  <sheetData>
    <row r="2" spans="1:25" x14ac:dyDescent="0.2">
      <c r="A2" s="34" t="s">
        <v>45</v>
      </c>
      <c r="B2" s="1" t="s">
        <v>146</v>
      </c>
    </row>
    <row r="3" spans="1:25" s="35" customFormat="1" x14ac:dyDescent="0.2">
      <c r="A3" s="36" t="s">
        <v>43</v>
      </c>
      <c r="B3" s="35" t="s">
        <v>145</v>
      </c>
    </row>
    <row r="4" spans="1:25" x14ac:dyDescent="0.2">
      <c r="A4" s="34" t="s">
        <v>41</v>
      </c>
      <c r="B4" s="1" t="s">
        <v>40</v>
      </c>
    </row>
    <row r="5" spans="1:25" x14ac:dyDescent="0.2">
      <c r="A5" s="34" t="s">
        <v>39</v>
      </c>
    </row>
    <row r="6" spans="1:25" x14ac:dyDescent="0.2">
      <c r="A6" s="34" t="s">
        <v>38</v>
      </c>
      <c r="B6" s="1">
        <v>3</v>
      </c>
    </row>
    <row r="7" spans="1:25" x14ac:dyDescent="0.2">
      <c r="A7" s="34" t="s">
        <v>37</v>
      </c>
      <c r="B7" s="1" t="s">
        <v>379</v>
      </c>
    </row>
    <row r="8" spans="1:25" x14ac:dyDescent="0.2">
      <c r="A8" s="34" t="s">
        <v>281</v>
      </c>
      <c r="B8" s="1" t="s">
        <v>294</v>
      </c>
    </row>
    <row r="9" spans="1:25" x14ac:dyDescent="0.2">
      <c r="A9" s="22"/>
    </row>
    <row r="10" spans="1:25" x14ac:dyDescent="0.2">
      <c r="A10" s="22" t="s">
        <v>36</v>
      </c>
      <c r="B10" s="33">
        <v>44377</v>
      </c>
      <c r="C10" s="33">
        <v>44286</v>
      </c>
      <c r="D10" s="33">
        <v>44196</v>
      </c>
      <c r="E10" s="33">
        <v>44104</v>
      </c>
      <c r="F10" s="33">
        <v>44012</v>
      </c>
      <c r="G10" s="33">
        <v>43921</v>
      </c>
      <c r="H10" s="33">
        <v>43830</v>
      </c>
      <c r="I10" s="33">
        <v>43738</v>
      </c>
      <c r="J10" s="33">
        <v>43646</v>
      </c>
      <c r="K10" s="33">
        <v>43555</v>
      </c>
      <c r="L10" s="33">
        <v>43463</v>
      </c>
      <c r="M10" s="33">
        <v>43373</v>
      </c>
      <c r="N10" s="33">
        <v>43281</v>
      </c>
      <c r="O10" s="33">
        <v>43190</v>
      </c>
      <c r="P10" s="33">
        <v>43100</v>
      </c>
      <c r="Q10" s="33">
        <v>43008</v>
      </c>
      <c r="R10" s="33">
        <v>42916</v>
      </c>
      <c r="S10" s="33">
        <v>42825</v>
      </c>
      <c r="T10" s="33">
        <v>42735</v>
      </c>
      <c r="U10" s="33">
        <v>42643</v>
      </c>
      <c r="V10" s="33">
        <v>42551</v>
      </c>
      <c r="W10" s="33">
        <v>42460</v>
      </c>
      <c r="X10" s="33">
        <v>42369</v>
      </c>
      <c r="Y10" s="33">
        <v>42277</v>
      </c>
    </row>
    <row r="12" spans="1:25" x14ac:dyDescent="0.2">
      <c r="A12" s="15" t="s">
        <v>35</v>
      </c>
      <c r="B12" s="19">
        <v>575.27199999999993</v>
      </c>
      <c r="C12" s="19">
        <v>373.5</v>
      </c>
      <c r="D12" s="19">
        <v>335.10900000000009</v>
      </c>
      <c r="E12" s="19">
        <v>412.62700000000001</v>
      </c>
      <c r="F12" s="19">
        <v>303.35699999999997</v>
      </c>
      <c r="G12" s="19">
        <v>482.40199999999993</v>
      </c>
      <c r="H12" s="19">
        <v>417.06999999999994</v>
      </c>
      <c r="I12" s="19">
        <v>504.221</v>
      </c>
      <c r="J12" s="19">
        <v>629.21100000000001</v>
      </c>
      <c r="K12" s="19">
        <v>465.81299999999999</v>
      </c>
      <c r="L12" s="19">
        <f>1867.741-M12-N12-O12</f>
        <v>380.35399999999998</v>
      </c>
      <c r="M12" s="19">
        <v>453.18400000000003</v>
      </c>
      <c r="N12" s="19">
        <v>601.51700000000005</v>
      </c>
      <c r="O12" s="19">
        <v>432.68599999999998</v>
      </c>
      <c r="P12" s="19">
        <f>1714.552-S12-R12-Q12</f>
        <v>341.66299999999984</v>
      </c>
      <c r="Q12" s="19">
        <v>411.90699999999998</v>
      </c>
      <c r="R12" s="19">
        <v>555.54200000000003</v>
      </c>
      <c r="S12" s="19">
        <v>405.44</v>
      </c>
      <c r="T12" s="19">
        <v>316.83</v>
      </c>
      <c r="U12" s="19">
        <v>434.47899999999998</v>
      </c>
      <c r="V12" s="19">
        <v>545.19999999999993</v>
      </c>
      <c r="W12" s="19">
        <v>359.72199999999998</v>
      </c>
      <c r="X12" s="19">
        <v>249.74700000000001</v>
      </c>
      <c r="Y12" s="19">
        <v>312.20000000000005</v>
      </c>
    </row>
    <row r="13" spans="1:25" s="28" customFormat="1" x14ac:dyDescent="0.2">
      <c r="A13" s="28" t="s">
        <v>34</v>
      </c>
      <c r="B13" s="28">
        <f t="shared" ref="B13:U13" si="0">+B12/F12-1</f>
        <v>0.89635314167795688</v>
      </c>
      <c r="C13" s="28">
        <f t="shared" si="0"/>
        <v>-0.22574947865058592</v>
      </c>
      <c r="D13" s="28">
        <f t="shared" si="0"/>
        <v>-0.19651617234516949</v>
      </c>
      <c r="E13" s="28">
        <f t="shared" si="0"/>
        <v>-0.18165447293944514</v>
      </c>
      <c r="F13" s="28">
        <f t="shared" si="0"/>
        <v>-0.51787715090804198</v>
      </c>
      <c r="G13" s="28">
        <f t="shared" si="0"/>
        <v>3.5613003501404839E-2</v>
      </c>
      <c r="H13" s="28">
        <f t="shared" si="0"/>
        <v>9.6531126266583112E-2</v>
      </c>
      <c r="I13" s="28">
        <f t="shared" si="0"/>
        <v>0.11261871557689584</v>
      </c>
      <c r="J13" s="28">
        <f t="shared" si="0"/>
        <v>4.6040261538742744E-2</v>
      </c>
      <c r="K13" s="28">
        <f t="shared" si="0"/>
        <v>7.656129387130628E-2</v>
      </c>
      <c r="L13" s="28">
        <f t="shared" si="0"/>
        <v>0.11324316651203126</v>
      </c>
      <c r="M13" s="28">
        <f t="shared" si="0"/>
        <v>0.10020951331247119</v>
      </c>
      <c r="N13" s="28">
        <f t="shared" si="0"/>
        <v>8.2757019271270327E-2</v>
      </c>
      <c r="O13" s="28">
        <f t="shared" si="0"/>
        <v>6.7201065509076452E-2</v>
      </c>
      <c r="P13" s="28">
        <f t="shared" si="0"/>
        <v>7.8379572641479101E-2</v>
      </c>
      <c r="Q13" s="28">
        <f t="shared" si="0"/>
        <v>-5.1951877996404883E-2</v>
      </c>
      <c r="R13" s="28">
        <f t="shared" si="0"/>
        <v>1.8969185619956086E-2</v>
      </c>
      <c r="S13" s="28">
        <f t="shared" si="0"/>
        <v>0.12709258816530555</v>
      </c>
      <c r="T13" s="28">
        <f t="shared" si="0"/>
        <v>0.26860382707299779</v>
      </c>
      <c r="U13" s="28">
        <f t="shared" si="0"/>
        <v>0.39166880204996768</v>
      </c>
    </row>
    <row r="14" spans="1:25"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row>
    <row r="16" spans="1:25" s="22" customFormat="1" x14ac:dyDescent="0.2">
      <c r="A16" s="30" t="s">
        <v>31</v>
      </c>
      <c r="B16" s="29">
        <v>105.071</v>
      </c>
      <c r="C16" s="29">
        <v>27.978000000000002</v>
      </c>
      <c r="D16" s="29">
        <v>1.3889999999999816</v>
      </c>
      <c r="E16" s="29">
        <v>68.082999999999998</v>
      </c>
      <c r="F16" s="29">
        <v>41.436999999999998</v>
      </c>
      <c r="G16" s="29">
        <v>51.752000000000002</v>
      </c>
      <c r="H16" s="29">
        <v>30.547000000000008</v>
      </c>
      <c r="I16" s="29">
        <v>64.204999999999998</v>
      </c>
      <c r="J16" s="29">
        <v>137.4</v>
      </c>
      <c r="K16" s="29">
        <v>47.768000000000001</v>
      </c>
      <c r="L16" s="29">
        <v>22.473000000000013</v>
      </c>
      <c r="M16" s="29">
        <v>59.335999999999999</v>
      </c>
      <c r="N16" s="29">
        <v>139.80000000000001</v>
      </c>
      <c r="O16" s="29">
        <v>52.423000000000002</v>
      </c>
      <c r="P16" s="29">
        <v>23.789000000000001</v>
      </c>
      <c r="Q16" s="29">
        <v>49.099999999999994</v>
      </c>
      <c r="R16" s="29">
        <v>126.14500000000001</v>
      </c>
      <c r="S16" s="29">
        <v>49.088000000000001</v>
      </c>
      <c r="T16" s="29">
        <v>15.175699999999999</v>
      </c>
      <c r="U16" s="29">
        <v>46.538000000000004</v>
      </c>
      <c r="V16" s="29">
        <v>134</v>
      </c>
      <c r="W16" s="29">
        <v>38.564999999999998</v>
      </c>
      <c r="X16" s="29">
        <v>24.442999999999998</v>
      </c>
      <c r="Y16" s="29">
        <v>35.6</v>
      </c>
    </row>
    <row r="17" spans="1:33" s="28" customFormat="1" x14ac:dyDescent="0.2">
      <c r="A17" s="28" t="s">
        <v>30</v>
      </c>
      <c r="B17" s="28">
        <f t="shared" ref="B17" si="1">+B16/B12</f>
        <v>0.18264577452057462</v>
      </c>
      <c r="C17" s="28">
        <f t="shared" ref="C17:D17" si="2">+C16/C12</f>
        <v>7.4907630522088361E-2</v>
      </c>
      <c r="D17" s="28">
        <f t="shared" si="2"/>
        <v>4.1449200111008094E-3</v>
      </c>
      <c r="E17" s="28">
        <f t="shared" ref="E17:F17" si="3">+E16/E12</f>
        <v>0.16499889730919207</v>
      </c>
      <c r="F17" s="28">
        <f t="shared" si="3"/>
        <v>0.13659483710611589</v>
      </c>
      <c r="G17" s="28">
        <f t="shared" ref="G17:H17" si="4">+G16/G12</f>
        <v>0.10727982056459137</v>
      </c>
      <c r="H17" s="28">
        <f t="shared" si="4"/>
        <v>7.3241901839019852E-2</v>
      </c>
      <c r="I17" s="28">
        <f t="shared" ref="I17:J17" si="5">+I16/I12</f>
        <v>0.12733503761247547</v>
      </c>
      <c r="J17" s="28">
        <f t="shared" si="5"/>
        <v>0.21836871891940859</v>
      </c>
      <c r="K17" s="28">
        <f t="shared" ref="K17:L17" si="6">+K16/K12</f>
        <v>0.10254758883929818</v>
      </c>
      <c r="L17" s="28">
        <f t="shared" si="6"/>
        <v>5.9084431871361975E-2</v>
      </c>
      <c r="M17" s="28">
        <f t="shared" ref="M17:Y17" si="7">+M16/M12</f>
        <v>0.13093136562632396</v>
      </c>
      <c r="N17" s="28">
        <f t="shared" si="7"/>
        <v>0.2324123840223967</v>
      </c>
      <c r="O17" s="28">
        <f t="shared" si="7"/>
        <v>0.12115714397969891</v>
      </c>
      <c r="P17" s="28">
        <f t="shared" si="7"/>
        <v>6.9627088680951729E-2</v>
      </c>
      <c r="Q17" s="28">
        <f t="shared" si="7"/>
        <v>0.11920166445338388</v>
      </c>
      <c r="R17" s="28">
        <f t="shared" si="7"/>
        <v>0.22706654042358634</v>
      </c>
      <c r="S17" s="28">
        <f t="shared" si="7"/>
        <v>0.12107340173638516</v>
      </c>
      <c r="T17" s="28">
        <f t="shared" si="7"/>
        <v>4.7898557586087173E-2</v>
      </c>
      <c r="U17" s="28">
        <f t="shared" si="7"/>
        <v>0.1071121964467788</v>
      </c>
      <c r="V17" s="28">
        <f t="shared" si="7"/>
        <v>0.24578136463683056</v>
      </c>
      <c r="W17" s="28">
        <f t="shared" si="7"/>
        <v>0.10720778823647149</v>
      </c>
      <c r="X17" s="28">
        <f t="shared" si="7"/>
        <v>9.7871045498044013E-2</v>
      </c>
      <c r="Y17" s="28">
        <f t="shared" si="7"/>
        <v>0.11402946828955797</v>
      </c>
    </row>
    <row r="18" spans="1:33" s="23" customFormat="1" x14ac:dyDescent="0.2"/>
    <row r="19" spans="1:33"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33"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AA20" s="67"/>
      <c r="AB20" s="67"/>
      <c r="AC20" s="67"/>
      <c r="AD20" s="67"/>
      <c r="AF20" s="67"/>
      <c r="AG20" s="67"/>
    </row>
    <row r="21" spans="1:33"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AA21" s="67"/>
      <c r="AB21" s="67"/>
      <c r="AC21" s="67"/>
      <c r="AD21" s="67"/>
      <c r="AF21" s="67"/>
      <c r="AG21" s="67"/>
    </row>
    <row r="22" spans="1:33" s="22" customFormat="1" x14ac:dyDescent="0.2">
      <c r="A22" s="22" t="s">
        <v>23</v>
      </c>
      <c r="B22" s="20">
        <f t="shared" ref="B22" si="8">SUM(B16,B19:B21)</f>
        <v>105.071</v>
      </c>
      <c r="C22" s="20">
        <f t="shared" ref="C22:D22" si="9">SUM(C16,C19:C21)</f>
        <v>27.978000000000002</v>
      </c>
      <c r="D22" s="20">
        <f t="shared" si="9"/>
        <v>1.3889999999999816</v>
      </c>
      <c r="E22" s="20">
        <f t="shared" ref="E22:F22" si="10">SUM(E16,E19:E21)</f>
        <v>68.082999999999998</v>
      </c>
      <c r="F22" s="20">
        <f t="shared" si="10"/>
        <v>41.436999999999998</v>
      </c>
      <c r="G22" s="20">
        <f t="shared" ref="G22:H22" si="11">SUM(G16,G19:G21)</f>
        <v>51.752000000000002</v>
      </c>
      <c r="H22" s="20">
        <f t="shared" si="11"/>
        <v>30.547000000000008</v>
      </c>
      <c r="I22" s="20">
        <f t="shared" ref="I22:J22" si="12">SUM(I16,I19:I21)</f>
        <v>64.204999999999998</v>
      </c>
      <c r="J22" s="20">
        <f t="shared" si="12"/>
        <v>137.4</v>
      </c>
      <c r="K22" s="20">
        <f t="shared" ref="K22:L22" si="13">SUM(K16,K19:K21)</f>
        <v>47.768000000000001</v>
      </c>
      <c r="L22" s="20">
        <f t="shared" si="13"/>
        <v>22.473000000000013</v>
      </c>
      <c r="M22" s="20">
        <f t="shared" ref="M22:Y22" si="14">SUM(M16,M19:M21)</f>
        <v>59.335999999999999</v>
      </c>
      <c r="N22" s="20">
        <f t="shared" si="14"/>
        <v>139.80000000000001</v>
      </c>
      <c r="O22" s="20">
        <f t="shared" si="14"/>
        <v>52.423000000000002</v>
      </c>
      <c r="P22" s="20">
        <f t="shared" si="14"/>
        <v>23.789000000000001</v>
      </c>
      <c r="Q22" s="20">
        <f t="shared" si="14"/>
        <v>49.099999999999994</v>
      </c>
      <c r="R22" s="20">
        <f t="shared" si="14"/>
        <v>126.14500000000001</v>
      </c>
      <c r="S22" s="20">
        <f t="shared" si="14"/>
        <v>49.088000000000001</v>
      </c>
      <c r="T22" s="20">
        <f t="shared" si="14"/>
        <v>15.175699999999999</v>
      </c>
      <c r="U22" s="20">
        <f t="shared" si="14"/>
        <v>46.538000000000004</v>
      </c>
      <c r="V22" s="20">
        <f t="shared" si="14"/>
        <v>134</v>
      </c>
      <c r="W22" s="20">
        <f t="shared" si="14"/>
        <v>38.564999999999998</v>
      </c>
      <c r="X22" s="20">
        <f t="shared" si="14"/>
        <v>24.442999999999998</v>
      </c>
      <c r="Y22" s="20">
        <f t="shared" si="14"/>
        <v>35.6</v>
      </c>
      <c r="AA22" s="66"/>
      <c r="AB22" s="66"/>
      <c r="AC22" s="66"/>
      <c r="AD22" s="66"/>
      <c r="AF22" s="66"/>
    </row>
    <row r="23" spans="1:33" s="22" customFormat="1" x14ac:dyDescent="0.2">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33" s="22" customFormat="1" x14ac:dyDescent="0.2">
      <c r="A24" s="22" t="s">
        <v>27</v>
      </c>
      <c r="B24" s="20">
        <f t="shared" ref="B24:V24" si="15">SUM(B22:E22)</f>
        <v>202.52099999999999</v>
      </c>
      <c r="C24" s="20">
        <f t="shared" si="15"/>
        <v>138.887</v>
      </c>
      <c r="D24" s="20">
        <f t="shared" si="15"/>
        <v>162.66099999999997</v>
      </c>
      <c r="E24" s="20">
        <f t="shared" si="15"/>
        <v>191.81899999999999</v>
      </c>
      <c r="F24" s="20">
        <f t="shared" si="15"/>
        <v>187.941</v>
      </c>
      <c r="G24" s="20">
        <f t="shared" si="15"/>
        <v>283.904</v>
      </c>
      <c r="H24" s="20">
        <f t="shared" si="15"/>
        <v>279.92</v>
      </c>
      <c r="I24" s="20">
        <f t="shared" si="15"/>
        <v>271.846</v>
      </c>
      <c r="J24" s="20">
        <f t="shared" si="15"/>
        <v>266.97700000000003</v>
      </c>
      <c r="K24" s="20">
        <f t="shared" si="15"/>
        <v>269.37700000000001</v>
      </c>
      <c r="L24" s="20">
        <f t="shared" si="15"/>
        <v>274.03200000000004</v>
      </c>
      <c r="M24" s="20">
        <f t="shared" si="15"/>
        <v>275.34800000000001</v>
      </c>
      <c r="N24" s="20">
        <f t="shared" si="15"/>
        <v>265.11199999999997</v>
      </c>
      <c r="O24" s="20">
        <f t="shared" si="15"/>
        <v>251.45699999999999</v>
      </c>
      <c r="P24" s="20">
        <f t="shared" si="15"/>
        <v>248.12199999999999</v>
      </c>
      <c r="Q24" s="20">
        <f t="shared" si="15"/>
        <v>239.5087</v>
      </c>
      <c r="R24" s="20">
        <f t="shared" si="15"/>
        <v>236.94670000000002</v>
      </c>
      <c r="S24" s="20">
        <f t="shared" si="15"/>
        <v>244.80170000000001</v>
      </c>
      <c r="T24" s="20">
        <f t="shared" si="15"/>
        <v>234.27870000000001</v>
      </c>
      <c r="U24" s="20">
        <f t="shared" si="15"/>
        <v>243.54599999999999</v>
      </c>
      <c r="V24" s="20">
        <f t="shared" si="15"/>
        <v>232.60799999999998</v>
      </c>
      <c r="W24" s="20"/>
      <c r="X24" s="20"/>
      <c r="Y24" s="20"/>
      <c r="AA24" s="66"/>
      <c r="AB24" s="66"/>
      <c r="AD24" s="66"/>
      <c r="AF24" s="66"/>
    </row>
    <row r="25" spans="1:33" s="23" customFormat="1" x14ac:dyDescent="0.2">
      <c r="A25" s="15" t="s">
        <v>26</v>
      </c>
      <c r="B25" s="27">
        <f>202.925-B24</f>
        <v>0.40400000000002478</v>
      </c>
      <c r="C25" s="27">
        <f>138.887-C24</f>
        <v>0</v>
      </c>
      <c r="D25" s="27">
        <f>188.661-D24</f>
        <v>26.000000000000028</v>
      </c>
      <c r="E25" s="27">
        <f>206.031-E24</f>
        <v>14.212000000000018</v>
      </c>
      <c r="F25" s="27">
        <f>216.214-F24</f>
        <v>28.272999999999996</v>
      </c>
      <c r="G25" s="27">
        <f>318.955-G24</f>
        <v>35.050999999999988</v>
      </c>
      <c r="H25" s="27">
        <f>313.92-H24</f>
        <v>34</v>
      </c>
      <c r="I25" s="27">
        <f>305.263-I24</f>
        <v>33.416999999999973</v>
      </c>
      <c r="J25" s="27">
        <f>304.703-J24</f>
        <v>37.725999999999942</v>
      </c>
      <c r="K25" s="27">
        <f>310.042-K24</f>
        <v>40.664999999999964</v>
      </c>
      <c r="L25" s="27">
        <f>314.032-L24</f>
        <v>39.999999999999943</v>
      </c>
      <c r="M25" s="27">
        <f>319.456-M26-M24</f>
        <v>44.108000000000004</v>
      </c>
      <c r="N25" s="27">
        <f>311.2-N26-N24</f>
        <v>46.088000000000022</v>
      </c>
      <c r="O25" s="27">
        <v>0</v>
      </c>
      <c r="P25" s="27">
        <v>0</v>
      </c>
      <c r="Q25" s="27">
        <v>0</v>
      </c>
      <c r="R25" s="27">
        <v>0</v>
      </c>
      <c r="S25" s="27">
        <v>0</v>
      </c>
      <c r="T25" s="27">
        <v>0</v>
      </c>
      <c r="U25" s="27">
        <v>0</v>
      </c>
      <c r="V25" s="27">
        <v>0</v>
      </c>
      <c r="W25" s="27"/>
      <c r="X25" s="27"/>
      <c r="Y25" s="27"/>
      <c r="AB25" s="67"/>
      <c r="AF25" s="67"/>
    </row>
    <row r="26" spans="1:33"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f>255.811-O24-O25</f>
        <v>4.3540000000000134</v>
      </c>
      <c r="P26" s="21">
        <v>7.8460000000000001</v>
      </c>
      <c r="Q26" s="21">
        <v>0</v>
      </c>
      <c r="R26" s="21">
        <v>0</v>
      </c>
      <c r="S26" s="21">
        <v>0</v>
      </c>
      <c r="T26" s="21">
        <v>0</v>
      </c>
      <c r="U26" s="21">
        <v>0</v>
      </c>
      <c r="V26" s="21">
        <v>0</v>
      </c>
      <c r="W26" s="26"/>
      <c r="X26" s="26"/>
      <c r="Y26" s="26"/>
      <c r="AA26" s="67"/>
      <c r="AB26" s="67"/>
      <c r="AC26" s="67"/>
      <c r="AD26" s="67"/>
      <c r="AG26" s="67"/>
    </row>
    <row r="27" spans="1:33" s="24" customFormat="1" x14ac:dyDescent="0.2">
      <c r="A27" s="22" t="s">
        <v>24</v>
      </c>
      <c r="B27" s="20">
        <f t="shared" ref="B27:C27" si="16">SUM(B24:B26)</f>
        <v>202.92500000000001</v>
      </c>
      <c r="C27" s="20">
        <f t="shared" si="16"/>
        <v>138.887</v>
      </c>
      <c r="D27" s="20">
        <f t="shared" ref="D27:E27" si="17">SUM(D24:D26)</f>
        <v>188.661</v>
      </c>
      <c r="E27" s="20">
        <f t="shared" si="17"/>
        <v>206.03100000000001</v>
      </c>
      <c r="F27" s="20">
        <f t="shared" ref="F27:G27" si="18">SUM(F24:F26)</f>
        <v>216.214</v>
      </c>
      <c r="G27" s="20">
        <f t="shared" si="18"/>
        <v>318.95499999999998</v>
      </c>
      <c r="H27" s="20">
        <f t="shared" ref="H27:M27" si="19">SUM(H24:H26)</f>
        <v>313.92</v>
      </c>
      <c r="I27" s="20">
        <f t="shared" si="19"/>
        <v>305.26299999999998</v>
      </c>
      <c r="J27" s="20">
        <f t="shared" si="19"/>
        <v>304.70299999999997</v>
      </c>
      <c r="K27" s="20">
        <f t="shared" si="19"/>
        <v>310.04199999999997</v>
      </c>
      <c r="L27" s="20">
        <f t="shared" si="19"/>
        <v>314.03199999999998</v>
      </c>
      <c r="M27" s="20">
        <f t="shared" si="19"/>
        <v>319.45600000000002</v>
      </c>
      <c r="N27" s="20">
        <f t="shared" ref="N27:V27" si="20">SUM(N24:N26)</f>
        <v>311.2</v>
      </c>
      <c r="O27" s="20">
        <f t="shared" si="20"/>
        <v>255.81100000000001</v>
      </c>
      <c r="P27" s="20">
        <f t="shared" si="20"/>
        <v>255.96799999999999</v>
      </c>
      <c r="Q27" s="20">
        <f t="shared" si="20"/>
        <v>239.5087</v>
      </c>
      <c r="R27" s="20">
        <f t="shared" si="20"/>
        <v>236.94670000000002</v>
      </c>
      <c r="S27" s="20">
        <f t="shared" si="20"/>
        <v>244.80170000000001</v>
      </c>
      <c r="T27" s="20">
        <f t="shared" si="20"/>
        <v>234.27870000000001</v>
      </c>
      <c r="U27" s="20">
        <f t="shared" si="20"/>
        <v>243.54599999999999</v>
      </c>
      <c r="V27" s="20">
        <f t="shared" si="20"/>
        <v>232.60799999999998</v>
      </c>
      <c r="W27" s="25"/>
      <c r="X27" s="25"/>
      <c r="Y27" s="25"/>
      <c r="AA27" s="68"/>
      <c r="AB27" s="68"/>
      <c r="AC27" s="68"/>
      <c r="AD27" s="68"/>
      <c r="AF27" s="68"/>
      <c r="AG27" s="68"/>
    </row>
    <row r="28" spans="1:33" s="23" customFormat="1" x14ac:dyDescent="0.2">
      <c r="AA28" s="67"/>
      <c r="AG28" s="67"/>
    </row>
    <row r="29" spans="1:33" s="22" customFormat="1" x14ac:dyDescent="0.2">
      <c r="A29" s="22" t="s">
        <v>23</v>
      </c>
      <c r="B29" s="20">
        <f t="shared" ref="B29" si="21">B22</f>
        <v>105.071</v>
      </c>
      <c r="C29" s="20">
        <f t="shared" ref="C29:D29" si="22">C22</f>
        <v>27.978000000000002</v>
      </c>
      <c r="D29" s="20">
        <f t="shared" si="22"/>
        <v>1.3889999999999816</v>
      </c>
      <c r="E29" s="20">
        <f t="shared" ref="E29:F29" si="23">E22</f>
        <v>68.082999999999998</v>
      </c>
      <c r="F29" s="20">
        <f t="shared" si="23"/>
        <v>41.436999999999998</v>
      </c>
      <c r="G29" s="20">
        <f t="shared" ref="G29:H29" si="24">G22</f>
        <v>51.752000000000002</v>
      </c>
      <c r="H29" s="20">
        <f t="shared" si="24"/>
        <v>30.547000000000008</v>
      </c>
      <c r="I29" s="20">
        <f t="shared" ref="I29:Y29" si="25">I22</f>
        <v>64.204999999999998</v>
      </c>
      <c r="J29" s="20">
        <f t="shared" si="25"/>
        <v>137.4</v>
      </c>
      <c r="K29" s="20">
        <f t="shared" si="25"/>
        <v>47.768000000000001</v>
      </c>
      <c r="L29" s="20">
        <f t="shared" si="25"/>
        <v>22.473000000000013</v>
      </c>
      <c r="M29" s="20">
        <f t="shared" si="25"/>
        <v>59.335999999999999</v>
      </c>
      <c r="N29" s="20">
        <f t="shared" si="25"/>
        <v>139.80000000000001</v>
      </c>
      <c r="O29" s="20">
        <f t="shared" si="25"/>
        <v>52.423000000000002</v>
      </c>
      <c r="P29" s="20">
        <f t="shared" si="25"/>
        <v>23.789000000000001</v>
      </c>
      <c r="Q29" s="20">
        <f t="shared" si="25"/>
        <v>49.099999999999994</v>
      </c>
      <c r="R29" s="20">
        <f t="shared" si="25"/>
        <v>126.14500000000001</v>
      </c>
      <c r="S29" s="20">
        <f t="shared" si="25"/>
        <v>49.088000000000001</v>
      </c>
      <c r="T29" s="20">
        <f t="shared" si="25"/>
        <v>15.175699999999999</v>
      </c>
      <c r="U29" s="20">
        <f t="shared" si="25"/>
        <v>46.538000000000004</v>
      </c>
      <c r="V29" s="20">
        <f t="shared" si="25"/>
        <v>134</v>
      </c>
      <c r="W29" s="20">
        <f t="shared" si="25"/>
        <v>38.564999999999998</v>
      </c>
      <c r="X29" s="20">
        <f t="shared" si="25"/>
        <v>24.442999999999998</v>
      </c>
      <c r="Y29" s="20">
        <f t="shared" si="25"/>
        <v>35.6</v>
      </c>
      <c r="AA29" s="66"/>
      <c r="AB29" s="66"/>
      <c r="AC29" s="66"/>
      <c r="AD29" s="66"/>
      <c r="AF29" s="66"/>
      <c r="AG29" s="66"/>
    </row>
    <row r="30" spans="1:33" s="11" customFormat="1" x14ac:dyDescent="0.2">
      <c r="A30" s="19" t="s">
        <v>22</v>
      </c>
      <c r="B30" s="19">
        <v>-36.984000000000002</v>
      </c>
      <c r="C30" s="19">
        <v>-37.139000000000003</v>
      </c>
      <c r="D30" s="19">
        <v>-48.574000000000012</v>
      </c>
      <c r="E30" s="19">
        <v>-41.457999999999998</v>
      </c>
      <c r="F30" s="19">
        <v>-38.049999999999997</v>
      </c>
      <c r="G30" s="19">
        <v>-38.664999999999999</v>
      </c>
      <c r="H30" s="19">
        <v>-36.817000000000007</v>
      </c>
      <c r="I30" s="19">
        <v>-39.503999999999998</v>
      </c>
      <c r="J30" s="19">
        <v>-40.220999999999997</v>
      </c>
      <c r="K30" s="19">
        <v>-51.295000000000002</v>
      </c>
      <c r="L30" s="19">
        <v>-38.606999999999985</v>
      </c>
      <c r="M30" s="19">
        <v>-36.636000000000003</v>
      </c>
      <c r="N30" s="19">
        <v>-30.724</v>
      </c>
      <c r="O30" s="19">
        <v>-28.471</v>
      </c>
      <c r="P30" s="19">
        <f>-99.995-Q30-R30-S30</f>
        <v>-29.54600000000001</v>
      </c>
      <c r="Q30" s="19">
        <f>-77.105+6.656-R30-S30</f>
        <v>-24.110999999999994</v>
      </c>
      <c r="R30" s="19">
        <f>-50.775+4.437-S30</f>
        <v>-24.525000000000002</v>
      </c>
      <c r="S30" s="19">
        <f>-24.032+2.219</f>
        <v>-21.812999999999999</v>
      </c>
      <c r="T30" s="19">
        <v>0</v>
      </c>
      <c r="U30" s="19">
        <v>0</v>
      </c>
      <c r="V30" s="19">
        <v>0</v>
      </c>
      <c r="W30" s="19">
        <v>0</v>
      </c>
      <c r="X30" s="19">
        <v>0</v>
      </c>
      <c r="Y30" s="19">
        <v>0</v>
      </c>
    </row>
    <row r="31" spans="1:33" s="11" customFormat="1" x14ac:dyDescent="0.2">
      <c r="A31" s="19" t="s">
        <v>21</v>
      </c>
      <c r="B31" s="19">
        <v>7.6310000000000002</v>
      </c>
      <c r="C31" s="19">
        <v>10.888</v>
      </c>
      <c r="D31" s="19">
        <v>33.952999999999996</v>
      </c>
      <c r="E31" s="19">
        <v>1.052</v>
      </c>
      <c r="F31" s="19">
        <v>1.2370000000000001</v>
      </c>
      <c r="G31" s="19">
        <v>12.292999999999999</v>
      </c>
      <c r="H31" s="19">
        <v>6.7899999999999991</v>
      </c>
      <c r="I31" s="19">
        <v>4.585</v>
      </c>
      <c r="J31" s="19">
        <v>-1.1020000000000001</v>
      </c>
      <c r="K31" s="19">
        <v>10.169</v>
      </c>
      <c r="L31" s="19">
        <v>7.2789999999999964</v>
      </c>
      <c r="M31" s="19">
        <v>108.301</v>
      </c>
      <c r="N31" s="19">
        <v>-77.765000000000001</v>
      </c>
      <c r="O31" s="19">
        <v>0.13200000000000001</v>
      </c>
      <c r="P31" s="19">
        <f>-12.727-Q31-R31-S31</f>
        <v>11.033999999999999</v>
      </c>
      <c r="Q31" s="19">
        <f>-29.583+5.822-R31-S31</f>
        <v>-12.058</v>
      </c>
      <c r="R31" s="19">
        <f>-30.022+18.319-S31</f>
        <v>-9.7469999999999999</v>
      </c>
      <c r="S31" s="19">
        <v>-1.956</v>
      </c>
      <c r="T31" s="19">
        <v>0</v>
      </c>
      <c r="U31" s="19">
        <v>0</v>
      </c>
      <c r="V31" s="19">
        <v>0</v>
      </c>
      <c r="W31" s="19">
        <v>0</v>
      </c>
      <c r="X31" s="19">
        <v>0</v>
      </c>
      <c r="Y31" s="19">
        <v>0</v>
      </c>
    </row>
    <row r="32" spans="1:33" s="11" customFormat="1" x14ac:dyDescent="0.2">
      <c r="A32" s="19" t="s">
        <v>20</v>
      </c>
      <c r="B32" s="19">
        <v>-30.891999999999978</v>
      </c>
      <c r="C32" s="19">
        <v>20.184000000000008</v>
      </c>
      <c r="D32" s="19">
        <v>140.93100000000001</v>
      </c>
      <c r="E32" s="19">
        <v>-101.488</v>
      </c>
      <c r="F32" s="19">
        <v>40.934000000000005</v>
      </c>
      <c r="G32" s="19">
        <v>-73.247000000000014</v>
      </c>
      <c r="H32" s="19">
        <v>119.57500000000002</v>
      </c>
      <c r="I32" s="19">
        <v>-5.9850000000000003</v>
      </c>
      <c r="J32" s="19">
        <v>-83.754000000000005</v>
      </c>
      <c r="K32" s="19">
        <v>-23</v>
      </c>
      <c r="L32" s="19">
        <v>-2.8409999999999727</v>
      </c>
      <c r="M32" s="19">
        <v>133.07999999999998</v>
      </c>
      <c r="N32" s="19">
        <v>-79.948999999999998</v>
      </c>
      <c r="O32" s="19">
        <v>-6.4960000000000004</v>
      </c>
      <c r="P32" s="19">
        <f>-17.395-Q32-R32-S32</f>
        <v>83.746000000000009</v>
      </c>
      <c r="Q32" s="19">
        <f>-7.655-5.563-6.349-0.148+19.814+1.446-12.373-21.057-0.392-0.663</f>
        <v>-32.94</v>
      </c>
      <c r="R32" s="19">
        <f>-64.566+15.401+17.724+0.114+16.301+5.283-67.912+16.42+10.925+0.448</f>
        <v>-49.862000000000016</v>
      </c>
      <c r="S32" s="19">
        <f>-1.677-15.814-6.05+0.181-17.394-7.021+24.765+2.328+2.041+0.302</f>
        <v>-18.338999999999999</v>
      </c>
      <c r="T32" s="19">
        <v>0</v>
      </c>
      <c r="U32" s="19">
        <v>0</v>
      </c>
      <c r="V32" s="19">
        <v>0</v>
      </c>
      <c r="W32" s="19">
        <v>0</v>
      </c>
      <c r="X32" s="19">
        <v>0</v>
      </c>
      <c r="Y32" s="19">
        <v>0</v>
      </c>
    </row>
    <row r="33" spans="1:33"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row>
    <row r="34" spans="1:33"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row>
    <row r="35" spans="1:33" s="20" customFormat="1" x14ac:dyDescent="0.2">
      <c r="A35" s="20" t="s">
        <v>17</v>
      </c>
      <c r="B35" s="20">
        <v>15.323</v>
      </c>
      <c r="C35" s="20">
        <v>13.907999999999999</v>
      </c>
      <c r="D35" s="20">
        <v>55.538000000000004</v>
      </c>
      <c r="E35" s="20">
        <v>-41.84</v>
      </c>
      <c r="F35" s="20">
        <v>39.167999999999999</v>
      </c>
      <c r="G35" s="20">
        <v>-53.710999999999999</v>
      </c>
      <c r="H35" s="20">
        <v>88.149000000000001</v>
      </c>
      <c r="I35" s="20">
        <v>16.138000000000002</v>
      </c>
      <c r="J35" s="20">
        <v>2.927</v>
      </c>
      <c r="K35" s="20">
        <v>-15.946</v>
      </c>
      <c r="L35" s="20">
        <v>156.66299999999998</v>
      </c>
      <c r="M35" s="20">
        <v>-71.822999999999993</v>
      </c>
      <c r="N35" s="20">
        <v>16.309999999999999</v>
      </c>
      <c r="O35" s="20">
        <v>10.747999999999999</v>
      </c>
      <c r="P35" s="20">
        <f>100.942-S35-R35-Q35</f>
        <v>85.150999999999982</v>
      </c>
      <c r="Q35" s="20">
        <v>-26.149000000000001</v>
      </c>
      <c r="R35" s="20">
        <v>37.481000000000002</v>
      </c>
      <c r="S35" s="20">
        <v>4.4589999999999996</v>
      </c>
      <c r="T35" s="20">
        <v>73.917000000000002</v>
      </c>
      <c r="U35" s="20">
        <v>4.3869999999999996</v>
      </c>
      <c r="V35" s="20">
        <v>41.408000000000001</v>
      </c>
      <c r="W35" s="20">
        <v>9.7010000000000005</v>
      </c>
      <c r="X35" s="20">
        <v>70.010999999999996</v>
      </c>
      <c r="Y35" s="20">
        <v>4.9210000000000003</v>
      </c>
      <c r="AG35" s="73"/>
    </row>
    <row r="36" spans="1:33" s="11" customFormat="1" x14ac:dyDescent="0.2">
      <c r="A36" s="19" t="s">
        <v>16</v>
      </c>
      <c r="B36" s="21">
        <v>-12.172000000000001</v>
      </c>
      <c r="C36" s="21">
        <v>-7.859</v>
      </c>
      <c r="D36" s="21">
        <v>-5.1510000000000034</v>
      </c>
      <c r="E36" s="21">
        <v>-5.6040000000000001</v>
      </c>
      <c r="F36" s="21">
        <v>-3.863</v>
      </c>
      <c r="G36" s="21">
        <v>-10.923999999999999</v>
      </c>
      <c r="H36" s="21">
        <v>-12.149000000000001</v>
      </c>
      <c r="I36" s="21">
        <v>-14.093999999999999</v>
      </c>
      <c r="J36" s="21">
        <v>-17.417000000000002</v>
      </c>
      <c r="K36" s="21">
        <v>-10.101000000000001</v>
      </c>
      <c r="L36" s="21">
        <v>-8.8329999999999984</v>
      </c>
      <c r="M36" s="21">
        <v>-8.5489999999999995</v>
      </c>
      <c r="N36" s="21">
        <v>-12.106999999999999</v>
      </c>
      <c r="O36" s="21">
        <v>-12.928000000000001</v>
      </c>
      <c r="P36" s="21">
        <f>-54.979-S36-R36-Q36</f>
        <v>-32.29099999999999</v>
      </c>
      <c r="Q36" s="21">
        <v>-8.3620000000000001</v>
      </c>
      <c r="R36" s="21">
        <v>-8.1080000000000005</v>
      </c>
      <c r="S36" s="21">
        <v>-6.218</v>
      </c>
      <c r="T36" s="21">
        <v>-5.4610000000000003</v>
      </c>
      <c r="U36" s="21">
        <v>-10.067</v>
      </c>
      <c r="V36" s="21">
        <v>-7.8730000000000002</v>
      </c>
      <c r="W36" s="21">
        <v>-7.0449999999999999</v>
      </c>
      <c r="X36" s="21">
        <v>-6.0650000000000004</v>
      </c>
      <c r="Y36" s="21">
        <v>-10.013999999999999</v>
      </c>
    </row>
    <row r="37" spans="1:33" s="20" customFormat="1" x14ac:dyDescent="0.2">
      <c r="A37" s="20" t="s">
        <v>15</v>
      </c>
      <c r="B37" s="20">
        <f t="shared" ref="B37:Y37" si="26">+B35+B36</f>
        <v>3.1509999999999998</v>
      </c>
      <c r="C37" s="20">
        <f t="shared" si="26"/>
        <v>6.0489999999999995</v>
      </c>
      <c r="D37" s="20">
        <f t="shared" si="26"/>
        <v>50.387</v>
      </c>
      <c r="E37" s="20">
        <f t="shared" si="26"/>
        <v>-47.444000000000003</v>
      </c>
      <c r="F37" s="20">
        <f t="shared" si="26"/>
        <v>35.305</v>
      </c>
      <c r="G37" s="20">
        <f t="shared" si="26"/>
        <v>-64.634999999999991</v>
      </c>
      <c r="H37" s="20">
        <f t="shared" si="26"/>
        <v>76</v>
      </c>
      <c r="I37" s="20">
        <f t="shared" si="26"/>
        <v>2.0440000000000023</v>
      </c>
      <c r="J37" s="20">
        <f t="shared" si="26"/>
        <v>-14.490000000000002</v>
      </c>
      <c r="K37" s="20">
        <f t="shared" si="26"/>
        <v>-26.047000000000001</v>
      </c>
      <c r="L37" s="20">
        <f t="shared" si="26"/>
        <v>147.82999999999998</v>
      </c>
      <c r="M37" s="20">
        <f t="shared" si="26"/>
        <v>-80.371999999999986</v>
      </c>
      <c r="N37" s="20">
        <f t="shared" si="26"/>
        <v>4.2029999999999994</v>
      </c>
      <c r="O37" s="20">
        <f t="shared" si="26"/>
        <v>-2.1800000000000015</v>
      </c>
      <c r="P37" s="20">
        <f t="shared" si="26"/>
        <v>52.859999999999992</v>
      </c>
      <c r="Q37" s="20">
        <f t="shared" si="26"/>
        <v>-34.511000000000003</v>
      </c>
      <c r="R37" s="20">
        <f t="shared" si="26"/>
        <v>29.373000000000001</v>
      </c>
      <c r="S37" s="20">
        <f t="shared" si="26"/>
        <v>-1.7590000000000003</v>
      </c>
      <c r="T37" s="20">
        <f t="shared" si="26"/>
        <v>68.456000000000003</v>
      </c>
      <c r="U37" s="20">
        <f t="shared" si="26"/>
        <v>-5.6800000000000006</v>
      </c>
      <c r="V37" s="20">
        <f t="shared" si="26"/>
        <v>33.535000000000004</v>
      </c>
      <c r="W37" s="20">
        <f t="shared" si="26"/>
        <v>2.6560000000000006</v>
      </c>
      <c r="X37" s="20">
        <f t="shared" si="26"/>
        <v>63.945999999999998</v>
      </c>
      <c r="Y37" s="20">
        <f t="shared" si="26"/>
        <v>-5.0929999999999991</v>
      </c>
    </row>
    <row r="38" spans="1:33" x14ac:dyDescent="0.2">
      <c r="AB38" s="69"/>
      <c r="AC38" s="69"/>
      <c r="AD38" s="69"/>
      <c r="AE38" s="122"/>
    </row>
    <row r="39" spans="1:33" s="16" customFormat="1" x14ac:dyDescent="0.2">
      <c r="A39" s="18" t="s">
        <v>14</v>
      </c>
      <c r="B39" s="19">
        <v>0</v>
      </c>
      <c r="C39" s="19">
        <v>0</v>
      </c>
      <c r="D39" s="19">
        <v>0</v>
      </c>
      <c r="E39" s="19">
        <v>0</v>
      </c>
      <c r="F39" s="19">
        <v>0</v>
      </c>
      <c r="G39" s="19">
        <v>149</v>
      </c>
      <c r="H39" s="19">
        <v>0</v>
      </c>
      <c r="I39" s="19">
        <v>79</v>
      </c>
      <c r="J39" s="19">
        <v>85</v>
      </c>
      <c r="K39" s="19">
        <v>58</v>
      </c>
      <c r="L39" s="19">
        <v>22</v>
      </c>
      <c r="M39" s="19">
        <v>81</v>
      </c>
      <c r="N39" s="19">
        <v>0</v>
      </c>
      <c r="O39" s="19">
        <f>44-7</f>
        <v>37</v>
      </c>
      <c r="P39" s="19">
        <v>0</v>
      </c>
      <c r="Q39" s="19">
        <v>0</v>
      </c>
      <c r="R39" s="19">
        <v>0</v>
      </c>
      <c r="S39" s="19">
        <v>0</v>
      </c>
      <c r="T39" s="19">
        <v>0</v>
      </c>
      <c r="U39" s="19">
        <v>0</v>
      </c>
      <c r="V39" s="19">
        <v>0</v>
      </c>
      <c r="W39" s="19"/>
      <c r="X39" s="19"/>
      <c r="Y39" s="19"/>
      <c r="AD39" s="69"/>
      <c r="AE39" s="122"/>
    </row>
    <row r="40" spans="1:33" s="16" customFormat="1" x14ac:dyDescent="0.2">
      <c r="A40" s="18" t="s">
        <v>13</v>
      </c>
      <c r="B40" s="19">
        <v>1500.0217150000001</v>
      </c>
      <c r="C40" s="19">
        <v>1503.5217150000001</v>
      </c>
      <c r="D40" s="19">
        <v>1506.914</v>
      </c>
      <c r="E40" s="19">
        <f>1360.495465+150</f>
        <v>1510.495465</v>
      </c>
      <c r="F40" s="19">
        <f>1363.995465+150</f>
        <v>1513.995465</v>
      </c>
      <c r="G40" s="19">
        <v>1367.414</v>
      </c>
      <c r="H40" s="19">
        <v>1370.914</v>
      </c>
      <c r="I40" s="19">
        <v>1376.9</v>
      </c>
      <c r="J40" s="19">
        <v>1380.4</v>
      </c>
      <c r="K40" s="19">
        <v>1383.9</v>
      </c>
      <c r="L40" s="19">
        <v>1387.4</v>
      </c>
      <c r="M40" s="19">
        <v>1390.9</v>
      </c>
      <c r="N40" s="19">
        <v>1394.4</v>
      </c>
      <c r="O40" s="19">
        <f>O41-O39-500</f>
        <v>1092.8699999999999</v>
      </c>
      <c r="P40" s="19">
        <v>1125</v>
      </c>
      <c r="Q40" s="19">
        <v>994.8</v>
      </c>
      <c r="R40" s="19">
        <v>1000</v>
      </c>
      <c r="S40" s="19">
        <v>1000</v>
      </c>
      <c r="T40" s="19">
        <v>1005</v>
      </c>
      <c r="U40" s="19">
        <v>1005</v>
      </c>
      <c r="V40" s="19">
        <v>892.23699999999997</v>
      </c>
      <c r="W40" s="19"/>
      <c r="X40" s="19"/>
      <c r="Y40" s="19"/>
      <c r="AE40" s="11"/>
    </row>
    <row r="41" spans="1:33" s="16" customFormat="1" x14ac:dyDescent="0.2">
      <c r="A41" s="18" t="s">
        <v>12</v>
      </c>
      <c r="B41" s="19">
        <f t="shared" ref="B41:N41" si="27">B39+B40+620</f>
        <v>2120.0217149999999</v>
      </c>
      <c r="C41" s="19">
        <f t="shared" si="27"/>
        <v>2123.5217149999999</v>
      </c>
      <c r="D41" s="19">
        <f t="shared" si="27"/>
        <v>2126.9139999999998</v>
      </c>
      <c r="E41" s="19">
        <f t="shared" si="27"/>
        <v>2130.495465</v>
      </c>
      <c r="F41" s="19">
        <f t="shared" si="27"/>
        <v>2133.995465</v>
      </c>
      <c r="G41" s="19">
        <f t="shared" si="27"/>
        <v>2136.4139999999998</v>
      </c>
      <c r="H41" s="19">
        <f t="shared" si="27"/>
        <v>1990.914</v>
      </c>
      <c r="I41" s="19">
        <f t="shared" si="27"/>
        <v>2075.9</v>
      </c>
      <c r="J41" s="19">
        <f t="shared" si="27"/>
        <v>2085.4</v>
      </c>
      <c r="K41" s="19">
        <f t="shared" si="27"/>
        <v>2061.9</v>
      </c>
      <c r="L41" s="19">
        <f t="shared" si="27"/>
        <v>2029.4</v>
      </c>
      <c r="M41" s="19">
        <f t="shared" si="27"/>
        <v>2091.9</v>
      </c>
      <c r="N41" s="19">
        <f t="shared" si="27"/>
        <v>2014.4</v>
      </c>
      <c r="O41" s="19">
        <v>1629.87</v>
      </c>
      <c r="P41" s="19">
        <v>1625</v>
      </c>
      <c r="Q41" s="19">
        <v>1364.8</v>
      </c>
      <c r="R41" s="19">
        <v>1370</v>
      </c>
      <c r="S41" s="19">
        <v>1370</v>
      </c>
      <c r="T41" s="19">
        <v>1375</v>
      </c>
      <c r="U41" s="19">
        <v>1375</v>
      </c>
      <c r="V41" s="19">
        <v>1187.2370000000001</v>
      </c>
      <c r="W41" s="19"/>
      <c r="X41" s="19"/>
      <c r="Y41" s="19"/>
    </row>
    <row r="42" spans="1:33" s="16" customFormat="1" x14ac:dyDescent="0.2">
      <c r="A42" s="18" t="s">
        <v>11</v>
      </c>
      <c r="B42" s="17">
        <f t="shared" ref="B42:M42" si="28">C42</f>
        <v>0</v>
      </c>
      <c r="C42" s="17">
        <f t="shared" si="28"/>
        <v>0</v>
      </c>
      <c r="D42" s="17">
        <f t="shared" si="28"/>
        <v>0</v>
      </c>
      <c r="E42" s="17">
        <f t="shared" si="28"/>
        <v>0</v>
      </c>
      <c r="F42" s="17">
        <f t="shared" si="28"/>
        <v>0</v>
      </c>
      <c r="G42" s="17">
        <f t="shared" si="28"/>
        <v>0</v>
      </c>
      <c r="H42" s="17">
        <f t="shared" si="28"/>
        <v>0</v>
      </c>
      <c r="I42" s="17">
        <f t="shared" si="28"/>
        <v>0</v>
      </c>
      <c r="J42" s="17">
        <f t="shared" si="28"/>
        <v>0</v>
      </c>
      <c r="K42" s="17">
        <f t="shared" si="28"/>
        <v>0</v>
      </c>
      <c r="L42" s="17">
        <f t="shared" si="28"/>
        <v>0</v>
      </c>
      <c r="M42" s="17">
        <f t="shared" si="28"/>
        <v>0</v>
      </c>
      <c r="N42" s="17">
        <v>0</v>
      </c>
      <c r="O42" s="17">
        <v>0</v>
      </c>
      <c r="P42" s="17">
        <v>0</v>
      </c>
      <c r="Q42" s="17">
        <v>0</v>
      </c>
      <c r="R42" s="17">
        <v>0</v>
      </c>
      <c r="S42" s="17">
        <v>0</v>
      </c>
      <c r="T42" s="17">
        <v>0</v>
      </c>
      <c r="U42" s="17">
        <v>0</v>
      </c>
      <c r="V42" s="17">
        <v>0</v>
      </c>
      <c r="W42" s="17"/>
      <c r="X42" s="17"/>
      <c r="Y42" s="17"/>
    </row>
    <row r="43" spans="1:33" x14ac:dyDescent="0.2">
      <c r="B43" s="16"/>
      <c r="C43" s="16"/>
      <c r="D43" s="16"/>
      <c r="E43" s="16"/>
      <c r="F43" s="16"/>
      <c r="G43" s="16"/>
      <c r="H43" s="16"/>
      <c r="I43" s="16"/>
      <c r="J43" s="16"/>
      <c r="K43" s="16"/>
      <c r="L43" s="16"/>
      <c r="M43" s="16"/>
      <c r="N43" s="16"/>
      <c r="O43" s="16"/>
      <c r="P43" s="16"/>
      <c r="Q43" s="16"/>
      <c r="R43" s="16"/>
      <c r="S43" s="16"/>
      <c r="T43" s="16"/>
    </row>
    <row r="44" spans="1:33" x14ac:dyDescent="0.2">
      <c r="A44" s="15" t="s">
        <v>10</v>
      </c>
      <c r="B44" s="27">
        <v>105.791</v>
      </c>
      <c r="C44" s="27">
        <v>108.992</v>
      </c>
      <c r="D44" s="27">
        <v>111.82299999999999</v>
      </c>
      <c r="E44" s="27">
        <v>70.412999999999997</v>
      </c>
      <c r="F44" s="27">
        <v>123.267</v>
      </c>
      <c r="G44" s="27">
        <v>63.911999999999999</v>
      </c>
      <c r="H44" s="27">
        <v>5.5460000000000003</v>
      </c>
      <c r="I44" s="27">
        <v>10.912000000000001</v>
      </c>
      <c r="J44" s="27">
        <v>38.451999999999998</v>
      </c>
      <c r="K44" s="27">
        <v>36.816000000000003</v>
      </c>
      <c r="L44" s="27">
        <v>56.359000000000002</v>
      </c>
      <c r="M44" s="27">
        <v>42.731999999999999</v>
      </c>
      <c r="N44" s="27">
        <v>22.1</v>
      </c>
      <c r="O44" s="27">
        <v>33.552999999999997</v>
      </c>
      <c r="P44" s="27">
        <v>21.945</v>
      </c>
      <c r="Q44" s="27">
        <v>24</v>
      </c>
      <c r="R44" s="27">
        <v>60.953000000000003</v>
      </c>
      <c r="S44" s="27">
        <v>35.96</v>
      </c>
      <c r="T44" s="27">
        <v>57.017000000000003</v>
      </c>
      <c r="U44" s="27">
        <v>58.658000000000001</v>
      </c>
      <c r="V44" s="27">
        <v>74.734999999999999</v>
      </c>
      <c r="W44" s="27"/>
      <c r="X44" s="27"/>
      <c r="Y44" s="27"/>
    </row>
    <row r="46" spans="1:33" x14ac:dyDescent="0.2">
      <c r="A46" s="1" t="s">
        <v>9</v>
      </c>
      <c r="B46" s="11">
        <f t="shared" ref="B46:V46" si="29">SUM(B12:E12)</f>
        <v>1696.508</v>
      </c>
      <c r="C46" s="11">
        <f t="shared" si="29"/>
        <v>1424.5930000000001</v>
      </c>
      <c r="D46" s="11">
        <f t="shared" si="29"/>
        <v>1533.4949999999999</v>
      </c>
      <c r="E46" s="11">
        <f t="shared" si="29"/>
        <v>1615.4559999999999</v>
      </c>
      <c r="F46" s="11">
        <f t="shared" si="29"/>
        <v>1707.0499999999997</v>
      </c>
      <c r="G46" s="11">
        <f t="shared" si="29"/>
        <v>2032.9039999999998</v>
      </c>
      <c r="H46" s="11">
        <f t="shared" si="29"/>
        <v>2016.3150000000001</v>
      </c>
      <c r="I46" s="11">
        <f t="shared" si="29"/>
        <v>1979.5989999999999</v>
      </c>
      <c r="J46" s="11">
        <f t="shared" si="29"/>
        <v>1928.5619999999999</v>
      </c>
      <c r="K46" s="11">
        <f t="shared" si="29"/>
        <v>1900.8679999999999</v>
      </c>
      <c r="L46" s="11">
        <f t="shared" si="29"/>
        <v>1867.741</v>
      </c>
      <c r="M46" s="11">
        <f t="shared" si="29"/>
        <v>1829.0499999999997</v>
      </c>
      <c r="N46" s="11">
        <f t="shared" si="29"/>
        <v>1787.7729999999997</v>
      </c>
      <c r="O46" s="11">
        <f t="shared" si="29"/>
        <v>1741.7979999999998</v>
      </c>
      <c r="P46" s="11">
        <f t="shared" si="29"/>
        <v>1714.5519999999999</v>
      </c>
      <c r="Q46" s="11">
        <f t="shared" si="29"/>
        <v>1689.7190000000001</v>
      </c>
      <c r="R46" s="11">
        <f t="shared" si="29"/>
        <v>1712.2909999999999</v>
      </c>
      <c r="S46" s="11">
        <f t="shared" si="29"/>
        <v>1701.9490000000001</v>
      </c>
      <c r="T46" s="11">
        <f t="shared" si="29"/>
        <v>1656.231</v>
      </c>
      <c r="U46" s="11">
        <f t="shared" si="29"/>
        <v>1589.1479999999999</v>
      </c>
      <c r="V46" s="11">
        <f t="shared" si="29"/>
        <v>1466.8689999999999</v>
      </c>
    </row>
    <row r="47" spans="1:33" x14ac:dyDescent="0.2">
      <c r="A47" s="1" t="s">
        <v>8</v>
      </c>
      <c r="B47" s="11">
        <f t="shared" ref="B47" si="30">+B27</f>
        <v>202.92500000000001</v>
      </c>
      <c r="C47" s="11">
        <f t="shared" ref="C47:D47" si="31">+C27</f>
        <v>138.887</v>
      </c>
      <c r="D47" s="11">
        <f t="shared" si="31"/>
        <v>188.661</v>
      </c>
      <c r="E47" s="11">
        <f t="shared" ref="E47:F47" si="32">+E27</f>
        <v>206.03100000000001</v>
      </c>
      <c r="F47" s="11">
        <f t="shared" si="32"/>
        <v>216.214</v>
      </c>
      <c r="G47" s="11">
        <f t="shared" ref="G47:H47" si="33">+G27</f>
        <v>318.95499999999998</v>
      </c>
      <c r="H47" s="11">
        <f t="shared" si="33"/>
        <v>313.92</v>
      </c>
      <c r="I47" s="11">
        <f t="shared" ref="I47:J47" si="34">+I27</f>
        <v>305.26299999999998</v>
      </c>
      <c r="J47" s="11">
        <f t="shared" si="34"/>
        <v>304.70299999999997</v>
      </c>
      <c r="K47" s="11">
        <f t="shared" ref="K47:L47" si="35">+K27</f>
        <v>310.04199999999997</v>
      </c>
      <c r="L47" s="11">
        <f t="shared" si="35"/>
        <v>314.03199999999998</v>
      </c>
      <c r="M47" s="11">
        <f t="shared" ref="M47:V47" si="36">+M27</f>
        <v>319.45600000000002</v>
      </c>
      <c r="N47" s="11">
        <f t="shared" si="36"/>
        <v>311.2</v>
      </c>
      <c r="O47" s="11">
        <f t="shared" si="36"/>
        <v>255.81100000000001</v>
      </c>
      <c r="P47" s="11">
        <f t="shared" si="36"/>
        <v>255.96799999999999</v>
      </c>
      <c r="Q47" s="11">
        <f t="shared" si="36"/>
        <v>239.5087</v>
      </c>
      <c r="R47" s="11">
        <f t="shared" si="36"/>
        <v>236.94670000000002</v>
      </c>
      <c r="S47" s="11">
        <f t="shared" si="36"/>
        <v>244.80170000000001</v>
      </c>
      <c r="T47" s="11">
        <f t="shared" si="36"/>
        <v>234.27870000000001</v>
      </c>
      <c r="U47" s="11">
        <f t="shared" si="36"/>
        <v>243.54599999999999</v>
      </c>
      <c r="V47" s="11">
        <f t="shared" si="36"/>
        <v>232.60799999999998</v>
      </c>
    </row>
    <row r="48" spans="1:33" x14ac:dyDescent="0.2">
      <c r="A48" s="1" t="s">
        <v>7</v>
      </c>
      <c r="B48" s="11">
        <f t="shared" ref="B48:V48" si="37">+SUM(B37:E37)</f>
        <v>12.143000000000001</v>
      </c>
      <c r="C48" s="11">
        <f t="shared" si="37"/>
        <v>44.296999999999997</v>
      </c>
      <c r="D48" s="11">
        <f t="shared" si="37"/>
        <v>-26.386999999999993</v>
      </c>
      <c r="E48" s="11">
        <f t="shared" si="37"/>
        <v>-0.77400000000000091</v>
      </c>
      <c r="F48" s="11">
        <f t="shared" si="37"/>
        <v>48.714000000000013</v>
      </c>
      <c r="G48" s="11">
        <f t="shared" si="37"/>
        <v>-1.0809999999999906</v>
      </c>
      <c r="H48" s="11">
        <f t="shared" si="37"/>
        <v>37.506999999999991</v>
      </c>
      <c r="I48" s="11">
        <f t="shared" si="37"/>
        <v>109.33699999999999</v>
      </c>
      <c r="J48" s="11">
        <f t="shared" si="37"/>
        <v>26.920999999999992</v>
      </c>
      <c r="K48" s="11">
        <f t="shared" si="37"/>
        <v>45.614000000000004</v>
      </c>
      <c r="L48" s="11">
        <f t="shared" si="37"/>
        <v>69.480999999999995</v>
      </c>
      <c r="M48" s="11">
        <f t="shared" si="37"/>
        <v>-25.488999999999997</v>
      </c>
      <c r="N48" s="11">
        <f t="shared" si="37"/>
        <v>20.371999999999986</v>
      </c>
      <c r="O48" s="11">
        <f t="shared" si="37"/>
        <v>45.541999999999987</v>
      </c>
      <c r="P48" s="11">
        <f t="shared" si="37"/>
        <v>45.962999999999994</v>
      </c>
      <c r="Q48" s="11">
        <f t="shared" si="37"/>
        <v>61.558999999999997</v>
      </c>
      <c r="R48" s="11">
        <f t="shared" si="37"/>
        <v>90.39</v>
      </c>
      <c r="S48" s="11">
        <f t="shared" si="37"/>
        <v>94.552000000000007</v>
      </c>
      <c r="T48" s="11">
        <f t="shared" si="37"/>
        <v>98.967000000000013</v>
      </c>
      <c r="U48" s="11">
        <f t="shared" si="37"/>
        <v>94.456999999999994</v>
      </c>
      <c r="V48" s="11">
        <f t="shared" si="37"/>
        <v>95.043999999999997</v>
      </c>
    </row>
    <row r="50" spans="1:25" s="10" customFormat="1" x14ac:dyDescent="0.2">
      <c r="A50" s="10" t="s">
        <v>6</v>
      </c>
      <c r="B50" s="10">
        <f t="shared" ref="B50" si="38">+SUM(B39:B40)/B47</f>
        <v>7.3920005667118396</v>
      </c>
      <c r="C50" s="10">
        <f t="shared" ref="C50:D50" si="39">+SUM(C39:C40)/C47</f>
        <v>10.825503574848618</v>
      </c>
      <c r="D50" s="10">
        <f t="shared" si="39"/>
        <v>7.9874165831835935</v>
      </c>
      <c r="E50" s="10">
        <f t="shared" ref="E50:F50" si="40">+SUM(E39:E40)/E47</f>
        <v>7.3313989885017303</v>
      </c>
      <c r="F50" s="10">
        <f t="shared" si="40"/>
        <v>7.002300799208192</v>
      </c>
      <c r="G50" s="10">
        <f t="shared" ref="G50:H50" si="41">+SUM(G39:G40)/G47</f>
        <v>4.7543195748616576</v>
      </c>
      <c r="H50" s="10">
        <f t="shared" si="41"/>
        <v>4.3670807849133535</v>
      </c>
      <c r="I50" s="10">
        <f t="shared" ref="I50:J50" si="42">+SUM(I39:I40)/I47</f>
        <v>4.7693300531017524</v>
      </c>
      <c r="J50" s="10">
        <f t="shared" si="42"/>
        <v>4.8092732923535388</v>
      </c>
      <c r="K50" s="10">
        <f t="shared" ref="K50:L50" si="43">+SUM(K39:K40)/K47</f>
        <v>4.650660233129706</v>
      </c>
      <c r="L50" s="10">
        <f t="shared" si="43"/>
        <v>4.4880776481377698</v>
      </c>
      <c r="M50" s="10">
        <f t="shared" ref="M50:V50" si="44">+SUM(M39:M40)/M47</f>
        <v>4.6075202844836225</v>
      </c>
      <c r="N50" s="10">
        <f t="shared" si="44"/>
        <v>4.4807197943444734</v>
      </c>
      <c r="O50" s="10">
        <f t="shared" si="44"/>
        <v>4.416815539597593</v>
      </c>
      <c r="P50" s="10">
        <f t="shared" si="44"/>
        <v>4.3950806350793847</v>
      </c>
      <c r="Q50" s="10">
        <f t="shared" si="44"/>
        <v>4.1535025658775648</v>
      </c>
      <c r="R50" s="10">
        <f t="shared" si="44"/>
        <v>4.2203584181590204</v>
      </c>
      <c r="S50" s="10">
        <f t="shared" si="44"/>
        <v>4.0849389526298223</v>
      </c>
      <c r="T50" s="10">
        <f t="shared" si="44"/>
        <v>4.2897625776479034</v>
      </c>
      <c r="U50" s="10">
        <f t="shared" si="44"/>
        <v>4.1265305116897837</v>
      </c>
      <c r="V50" s="10">
        <f t="shared" si="44"/>
        <v>3.8357967051864081</v>
      </c>
    </row>
    <row r="51" spans="1:25" s="10" customFormat="1" x14ac:dyDescent="0.2">
      <c r="A51" s="10" t="s">
        <v>5</v>
      </c>
      <c r="B51" s="10">
        <f t="shared" ref="B51" si="45">+B41/B47</f>
        <v>10.447316570161389</v>
      </c>
      <c r="C51" s="10">
        <f t="shared" ref="C51:D51" si="46">+C41/C47</f>
        <v>15.28956428607429</v>
      </c>
      <c r="D51" s="10">
        <f t="shared" si="46"/>
        <v>11.273734370113589</v>
      </c>
      <c r="E51" s="10">
        <f t="shared" ref="E51:F51" si="47">+E41/E47</f>
        <v>10.340654877178677</v>
      </c>
      <c r="F51" s="10">
        <f t="shared" si="47"/>
        <v>9.8698301913844624</v>
      </c>
      <c r="G51" s="10">
        <f t="shared" ref="G51:H51" si="48">+G41/G47</f>
        <v>6.6981674530889936</v>
      </c>
      <c r="H51" s="10">
        <f t="shared" si="48"/>
        <v>6.3421062691131498</v>
      </c>
      <c r="I51" s="10">
        <f t="shared" ref="I51:J51" si="49">+I41/I47</f>
        <v>6.8003655863959942</v>
      </c>
      <c r="J51" s="10">
        <f t="shared" si="49"/>
        <v>6.8440415749106513</v>
      </c>
      <c r="K51" s="10">
        <f t="shared" ref="K51:L51" si="50">+K41/K47</f>
        <v>6.6503893020945561</v>
      </c>
      <c r="L51" s="10">
        <f t="shared" si="50"/>
        <v>6.4623987364345039</v>
      </c>
      <c r="M51" s="10">
        <f t="shared" ref="M51:V51" si="51">+M41/M47</f>
        <v>6.5483196433937696</v>
      </c>
      <c r="N51" s="10">
        <f t="shared" si="51"/>
        <v>6.4730077120822624</v>
      </c>
      <c r="O51" s="10">
        <f t="shared" si="51"/>
        <v>6.3713835605192894</v>
      </c>
      <c r="P51" s="10">
        <f t="shared" si="51"/>
        <v>6.3484498062257781</v>
      </c>
      <c r="Q51" s="10">
        <f t="shared" si="51"/>
        <v>5.6983316263668078</v>
      </c>
      <c r="R51" s="10">
        <f t="shared" si="51"/>
        <v>5.7818910328778577</v>
      </c>
      <c r="S51" s="10">
        <f t="shared" si="51"/>
        <v>5.5963663651028561</v>
      </c>
      <c r="T51" s="10">
        <f t="shared" si="51"/>
        <v>5.8690781534983758</v>
      </c>
      <c r="U51" s="10">
        <f t="shared" si="51"/>
        <v>5.6457507000730871</v>
      </c>
      <c r="V51" s="10">
        <f t="shared" si="51"/>
        <v>5.1040247970835058</v>
      </c>
    </row>
    <row r="52" spans="1:25" s="10" customFormat="1" x14ac:dyDescent="0.2">
      <c r="A52" s="10" t="s">
        <v>4</v>
      </c>
      <c r="B52" s="10">
        <f t="shared" ref="B52" si="52">+(B41-B44)/B47</f>
        <v>9.9259860293211766</v>
      </c>
      <c r="C52" s="10">
        <f t="shared" ref="C52:D52" si="53">+(C41-C44)/C47</f>
        <v>14.504811213432502</v>
      </c>
      <c r="D52" s="10">
        <f t="shared" si="53"/>
        <v>10.681015154165406</v>
      </c>
      <c r="E52" s="10">
        <f t="shared" ref="E52:F52" si="54">+(E41-E44)/E47</f>
        <v>9.9988956273570473</v>
      </c>
      <c r="F52" s="10">
        <f t="shared" si="54"/>
        <v>9.2997144726983443</v>
      </c>
      <c r="G52" s="10">
        <f t="shared" ref="G52:H52" si="55">+(G41-G44)/G47</f>
        <v>6.4977880892288882</v>
      </c>
      <c r="H52" s="10">
        <f t="shared" si="55"/>
        <v>6.3244393476044847</v>
      </c>
      <c r="I52" s="10">
        <f t="shared" ref="I52:J52" si="56">+(I41-I44)/I47</f>
        <v>6.7646193610100154</v>
      </c>
      <c r="J52" s="10">
        <f t="shared" si="56"/>
        <v>6.7178465587801899</v>
      </c>
      <c r="K52" s="10">
        <f t="shared" ref="K52:L52" si="57">+(K41-K44)/K47</f>
        <v>6.5316440998316363</v>
      </c>
      <c r="L52" s="10">
        <f t="shared" si="57"/>
        <v>6.2829297651194791</v>
      </c>
      <c r="M52" s="10">
        <f t="shared" ref="M52:V52" si="58">+(M41-M44)/M47</f>
        <v>6.4145547430632073</v>
      </c>
      <c r="N52" s="10">
        <f t="shared" si="58"/>
        <v>6.4019922879177384</v>
      </c>
      <c r="O52" s="10">
        <f t="shared" si="58"/>
        <v>6.2402203189073182</v>
      </c>
      <c r="P52" s="10">
        <f t="shared" si="58"/>
        <v>6.2627164333041634</v>
      </c>
      <c r="Q52" s="10">
        <f t="shared" si="58"/>
        <v>5.598126498118857</v>
      </c>
      <c r="R52" s="10">
        <f t="shared" si="58"/>
        <v>5.5246475262158112</v>
      </c>
      <c r="S52" s="10">
        <f t="shared" si="58"/>
        <v>5.4494719603662878</v>
      </c>
      <c r="T52" s="10">
        <f t="shared" si="58"/>
        <v>5.6257056232598179</v>
      </c>
      <c r="U52" s="10">
        <f t="shared" si="58"/>
        <v>5.4049009222077151</v>
      </c>
      <c r="V52" s="10">
        <f t="shared" si="58"/>
        <v>4.7827331820057788</v>
      </c>
    </row>
    <row r="53" spans="1:25" s="6" customFormat="1" x14ac:dyDescent="0.2">
      <c r="A53" s="6" t="s">
        <v>3</v>
      </c>
      <c r="B53" s="6">
        <f t="shared" ref="B53" si="59">+B48/B41</f>
        <v>5.7277715195478557E-3</v>
      </c>
      <c r="C53" s="6">
        <f t="shared" ref="C53:D53" si="60">+C48/C41</f>
        <v>2.0860158710456135E-2</v>
      </c>
      <c r="D53" s="6">
        <f t="shared" si="60"/>
        <v>-1.2406237393707501E-2</v>
      </c>
      <c r="E53" s="6">
        <f t="shared" ref="E53:F53" si="61">+E48/E41</f>
        <v>-3.6329577448783771E-4</v>
      </c>
      <c r="F53" s="6">
        <f t="shared" si="61"/>
        <v>2.2827602400738941E-2</v>
      </c>
      <c r="G53" s="6">
        <f t="shared" ref="G53:H53" si="62">+G48/G41</f>
        <v>-5.0598807160035029E-4</v>
      </c>
      <c r="H53" s="6">
        <f t="shared" si="62"/>
        <v>1.8839085967550576E-2</v>
      </c>
      <c r="I53" s="6">
        <f t="shared" ref="I53:J53" si="63">+I48/I41</f>
        <v>5.26696854376415E-2</v>
      </c>
      <c r="J53" s="6">
        <f t="shared" si="63"/>
        <v>1.2909274000191805E-2</v>
      </c>
      <c r="K53" s="6">
        <f t="shared" ref="K53:L53" si="64">+K48/K41</f>
        <v>2.212231437024104E-2</v>
      </c>
      <c r="L53" s="6">
        <f t="shared" si="64"/>
        <v>3.423721296935054E-2</v>
      </c>
      <c r="M53" s="6">
        <f t="shared" ref="M53:V53" si="65">+M48/M41</f>
        <v>-1.2184616855490223E-2</v>
      </c>
      <c r="N53" s="6">
        <f t="shared" si="65"/>
        <v>1.0113185067513892E-2</v>
      </c>
      <c r="O53" s="6">
        <f t="shared" si="65"/>
        <v>2.7942105812119981E-2</v>
      </c>
      <c r="P53" s="6">
        <f t="shared" si="65"/>
        <v>2.8284923076923072E-2</v>
      </c>
      <c r="Q53" s="6">
        <f t="shared" si="65"/>
        <v>4.5104777256740912E-2</v>
      </c>
      <c r="R53" s="6">
        <f t="shared" si="65"/>
        <v>6.5978102189781021E-2</v>
      </c>
      <c r="S53" s="6">
        <f t="shared" si="65"/>
        <v>6.9016058394160584E-2</v>
      </c>
      <c r="T53" s="6">
        <f t="shared" si="65"/>
        <v>7.1976000000000012E-2</v>
      </c>
      <c r="U53" s="6">
        <f t="shared" si="65"/>
        <v>6.8695999999999993E-2</v>
      </c>
      <c r="V53" s="6">
        <f t="shared" si="65"/>
        <v>8.0054782659233159E-2</v>
      </c>
    </row>
    <row r="54" spans="1:25" s="6" customFormat="1" x14ac:dyDescent="0.2">
      <c r="A54" s="8" t="s">
        <v>2</v>
      </c>
      <c r="B54" s="9">
        <v>8</v>
      </c>
      <c r="C54" s="9">
        <v>8</v>
      </c>
      <c r="D54" s="9">
        <v>8</v>
      </c>
      <c r="E54" s="9">
        <v>8</v>
      </c>
      <c r="F54" s="9">
        <v>8</v>
      </c>
      <c r="G54" s="9">
        <v>8</v>
      </c>
      <c r="H54" s="9">
        <v>8</v>
      </c>
      <c r="I54" s="9">
        <v>8</v>
      </c>
      <c r="J54" s="9">
        <v>8</v>
      </c>
      <c r="K54" s="9">
        <v>8</v>
      </c>
      <c r="L54" s="9">
        <v>8</v>
      </c>
      <c r="M54" s="9">
        <v>8</v>
      </c>
      <c r="N54" s="9">
        <v>8</v>
      </c>
      <c r="O54" s="9">
        <v>8</v>
      </c>
      <c r="P54" s="9">
        <v>8</v>
      </c>
      <c r="Q54" s="9">
        <v>8</v>
      </c>
      <c r="R54" s="9">
        <v>8</v>
      </c>
      <c r="S54" s="9">
        <v>8</v>
      </c>
      <c r="T54" s="9">
        <v>8</v>
      </c>
      <c r="U54" s="9">
        <v>8</v>
      </c>
      <c r="V54" s="9">
        <v>8</v>
      </c>
      <c r="W54" s="8"/>
      <c r="X54" s="8"/>
      <c r="Y54" s="8"/>
    </row>
    <row r="55" spans="1:25" s="6" customFormat="1" x14ac:dyDescent="0.2">
      <c r="A55" s="6" t="s">
        <v>1</v>
      </c>
      <c r="B55" s="7" t="str">
        <f t="shared" ref="B55" si="66">IF(B42=0,IF(B54="","","*"&amp;TEXT(B54,"0.0x")),(B41+B42-B44)/B47)</f>
        <v>*8.0x</v>
      </c>
      <c r="C55" s="7" t="str">
        <f t="shared" ref="C55:D55" si="67">IF(C42=0,IF(C54="","","*"&amp;TEXT(C54,"0.0x")),(C41+C42-C44)/C47)</f>
        <v>*8.0x</v>
      </c>
      <c r="D55" s="7" t="str">
        <f t="shared" si="67"/>
        <v>*8.0x</v>
      </c>
      <c r="E55" s="7" t="str">
        <f t="shared" ref="E55:F55" si="68">IF(E42=0,IF(E54="","","*"&amp;TEXT(E54,"0.0x")),(E41+E42-E44)/E47)</f>
        <v>*8.0x</v>
      </c>
      <c r="F55" s="7" t="str">
        <f t="shared" si="68"/>
        <v>*8.0x</v>
      </c>
      <c r="G55" s="7" t="str">
        <f t="shared" ref="G55:H55" si="69">IF(G42=0,IF(G54="","","*"&amp;TEXT(G54,"0.0x")),(G41+G42-G44)/G47)</f>
        <v>*8.0x</v>
      </c>
      <c r="H55" s="7" t="str">
        <f t="shared" si="69"/>
        <v>*8.0x</v>
      </c>
      <c r="I55" s="7" t="str">
        <f t="shared" ref="I55:J55" si="70">IF(I42=0,IF(I54="","","*"&amp;TEXT(I54,"0.0x")),(I41+I42-I44)/I47)</f>
        <v>*8.0x</v>
      </c>
      <c r="J55" s="7" t="str">
        <f t="shared" si="70"/>
        <v>*8.0x</v>
      </c>
      <c r="K55" s="7" t="str">
        <f t="shared" ref="K55:L55" si="71">IF(K42=0,IF(K54="","","*"&amp;TEXT(K54,"0.0x")),(K41+K42-K44)/K47)</f>
        <v>*8.0x</v>
      </c>
      <c r="L55" s="7" t="str">
        <f t="shared" si="71"/>
        <v>*8.0x</v>
      </c>
      <c r="M55" s="7" t="str">
        <f t="shared" ref="M55:V55" si="72">IF(M42=0,IF(M54="","","*"&amp;TEXT(M54,"0.0x")),(M41+M42-M44)/M47)</f>
        <v>*8.0x</v>
      </c>
      <c r="N55" s="7" t="str">
        <f t="shared" si="72"/>
        <v>*8.0x</v>
      </c>
      <c r="O55" s="7" t="str">
        <f t="shared" si="72"/>
        <v>*8.0x</v>
      </c>
      <c r="P55" s="7" t="str">
        <f t="shared" si="72"/>
        <v>*8.0x</v>
      </c>
      <c r="Q55" s="7" t="str">
        <f t="shared" si="72"/>
        <v>*8.0x</v>
      </c>
      <c r="R55" s="7" t="str">
        <f t="shared" si="72"/>
        <v>*8.0x</v>
      </c>
      <c r="S55" s="7" t="str">
        <f t="shared" si="72"/>
        <v>*8.0x</v>
      </c>
      <c r="T55" s="7" t="str">
        <f t="shared" si="72"/>
        <v>*8.0x</v>
      </c>
      <c r="U55" s="7" t="str">
        <f t="shared" si="72"/>
        <v>*8.0x</v>
      </c>
      <c r="V55" s="7" t="str">
        <f t="shared" si="72"/>
        <v>*8.0x</v>
      </c>
      <c r="W55" s="7" t="str">
        <f>IF(W42=0,IF(W54="","",CONCATENATE("* ",W54,"x")),(W41+W42-W44)/W47)</f>
        <v/>
      </c>
      <c r="X55" s="7" t="str">
        <f>IF(X42=0,IF(X54="","",CONCATENATE("* ",X54,"x")),(X41+X42-X44)/X47)</f>
        <v/>
      </c>
      <c r="Y55" s="7" t="str">
        <f>IF(Y42=0,IF(Y54="","",CONCATENATE("* ",Y54,"x")),(Y41+Y42-Y44)/Y47)</f>
        <v/>
      </c>
    </row>
    <row r="56" spans="1:25" x14ac:dyDescent="0.2">
      <c r="V56" s="3"/>
    </row>
    <row r="57" spans="1:25" ht="80.25" customHeight="1" x14ac:dyDescent="0.2">
      <c r="A57" s="5" t="s">
        <v>0</v>
      </c>
      <c r="B57" s="4" t="s">
        <v>104</v>
      </c>
      <c r="C57" s="4" t="s">
        <v>104</v>
      </c>
      <c r="D57" s="4" t="s">
        <v>104</v>
      </c>
      <c r="E57" s="4" t="s">
        <v>104</v>
      </c>
      <c r="F57" s="4" t="s">
        <v>104</v>
      </c>
      <c r="G57" s="4" t="s">
        <v>371</v>
      </c>
      <c r="H57" s="4" t="s">
        <v>371</v>
      </c>
      <c r="I57" s="4" t="s">
        <v>371</v>
      </c>
      <c r="J57" s="4" t="s">
        <v>371</v>
      </c>
      <c r="K57" s="4" t="s">
        <v>371</v>
      </c>
      <c r="L57" s="4"/>
      <c r="M57" s="4"/>
      <c r="N57" s="4"/>
      <c r="O57" s="4"/>
      <c r="P57" s="4"/>
      <c r="Q57" s="4" t="s">
        <v>104</v>
      </c>
      <c r="R57" s="4" t="s">
        <v>104</v>
      </c>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Q46:V49 U50:V51 Q50:T51 P52:T52 P50:P51 C46:H48" formulaRange="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22" x14ac:dyDescent="0.2">
      <c r="A2" s="34" t="s">
        <v>45</v>
      </c>
      <c r="B2" s="1" t="s">
        <v>158</v>
      </c>
    </row>
    <row r="3" spans="1:22" s="35" customFormat="1" x14ac:dyDescent="0.2">
      <c r="A3" s="36" t="s">
        <v>43</v>
      </c>
      <c r="B3" s="35" t="s">
        <v>454</v>
      </c>
    </row>
    <row r="4" spans="1:22" x14ac:dyDescent="0.2">
      <c r="A4" s="34" t="s">
        <v>41</v>
      </c>
      <c r="B4" s="1" t="s">
        <v>40</v>
      </c>
    </row>
    <row r="5" spans="1:22" x14ac:dyDescent="0.2">
      <c r="A5" s="34" t="s">
        <v>39</v>
      </c>
    </row>
    <row r="6" spans="1:22" x14ac:dyDescent="0.2">
      <c r="A6" s="34" t="s">
        <v>38</v>
      </c>
      <c r="B6" s="1">
        <v>3</v>
      </c>
    </row>
    <row r="7" spans="1:22" x14ac:dyDescent="0.2">
      <c r="A7" s="34" t="s">
        <v>37</v>
      </c>
      <c r="B7" s="1" t="s">
        <v>83</v>
      </c>
    </row>
    <row r="8" spans="1:22" x14ac:dyDescent="0.2">
      <c r="A8" s="34" t="s">
        <v>281</v>
      </c>
      <c r="B8" s="1" t="s">
        <v>453</v>
      </c>
    </row>
    <row r="9" spans="1:22" x14ac:dyDescent="0.2">
      <c r="A9" s="22"/>
    </row>
    <row r="10" spans="1:22" x14ac:dyDescent="0.2">
      <c r="A10" s="22" t="s">
        <v>36</v>
      </c>
      <c r="B10" s="33">
        <v>44377</v>
      </c>
      <c r="C10" s="33">
        <v>44286</v>
      </c>
      <c r="D10" s="33">
        <v>44196</v>
      </c>
      <c r="E10" s="33">
        <v>44104</v>
      </c>
      <c r="F10" s="33">
        <v>44012</v>
      </c>
      <c r="G10" s="33">
        <v>43921</v>
      </c>
      <c r="H10" s="33">
        <v>43830</v>
      </c>
      <c r="I10" s="33">
        <v>43738</v>
      </c>
      <c r="J10" s="33">
        <f>EOMONTH(I10,-3)</f>
        <v>43646</v>
      </c>
      <c r="K10" s="33">
        <f t="shared" ref="K10:O10" si="0">EOMONTH(J10,-3)</f>
        <v>43555</v>
      </c>
      <c r="L10" s="33">
        <f t="shared" si="0"/>
        <v>43465</v>
      </c>
      <c r="M10" s="33">
        <f t="shared" si="0"/>
        <v>43373</v>
      </c>
      <c r="N10" s="33">
        <f t="shared" si="0"/>
        <v>43281</v>
      </c>
      <c r="O10" s="33">
        <f t="shared" si="0"/>
        <v>43190</v>
      </c>
    </row>
    <row r="11" spans="1:22" x14ac:dyDescent="0.2">
      <c r="P11" s="71"/>
    </row>
    <row r="12" spans="1:22" x14ac:dyDescent="0.2">
      <c r="A12" s="15" t="s">
        <v>35</v>
      </c>
      <c r="B12" s="19">
        <v>1745.7930000000001</v>
      </c>
      <c r="C12" s="19">
        <v>1560.7909999999999</v>
      </c>
      <c r="D12" s="19">
        <v>1288.5009999999997</v>
      </c>
      <c r="E12" s="19">
        <v>1223.751</v>
      </c>
      <c r="F12" s="19">
        <v>1038.5899999999999</v>
      </c>
      <c r="G12" s="19">
        <v>1043.7380000000001</v>
      </c>
      <c r="H12" s="19">
        <v>1086.828</v>
      </c>
      <c r="I12" s="19">
        <v>1049.865</v>
      </c>
      <c r="J12" s="19">
        <v>1056.991</v>
      </c>
      <c r="K12" s="19">
        <v>1014.595</v>
      </c>
      <c r="L12" s="19">
        <v>918.57199999999989</v>
      </c>
      <c r="M12" s="19">
        <v>897.24599999999998</v>
      </c>
      <c r="N12" s="19">
        <v>920.51800000000003</v>
      </c>
      <c r="O12" s="19">
        <v>693.62400000000002</v>
      </c>
    </row>
    <row r="13" spans="1:22" s="28" customFormat="1" x14ac:dyDescent="0.2">
      <c r="A13" s="28" t="s">
        <v>34</v>
      </c>
      <c r="B13" s="28">
        <f t="shared" ref="B13:I13" si="1">+B12/F12-1</f>
        <v>0.68092606322032778</v>
      </c>
      <c r="C13" s="28">
        <f t="shared" si="1"/>
        <v>0.49538581521416281</v>
      </c>
      <c r="D13" s="28">
        <f t="shared" si="1"/>
        <v>0.1855611007445519</v>
      </c>
      <c r="E13" s="28">
        <f t="shared" si="1"/>
        <v>0.16562700918689544</v>
      </c>
      <c r="F13" s="28">
        <f t="shared" si="1"/>
        <v>-1.7408852109431439E-2</v>
      </c>
      <c r="G13" s="28">
        <f t="shared" si="1"/>
        <v>2.872377648224167E-2</v>
      </c>
      <c r="H13" s="28">
        <f t="shared" si="1"/>
        <v>0.18317127018894563</v>
      </c>
      <c r="I13" s="28">
        <f t="shared" si="1"/>
        <v>0.17009716398847141</v>
      </c>
      <c r="J13" s="28">
        <f t="shared" ref="J13:K13" si="2">+J12/N12-1</f>
        <v>0.14825674239938813</v>
      </c>
      <c r="K13" s="28">
        <f t="shared" si="2"/>
        <v>0.46274494538827948</v>
      </c>
    </row>
    <row r="14" spans="1:22" s="23" customFormat="1" x14ac:dyDescent="0.2">
      <c r="A14" s="31" t="s">
        <v>33</v>
      </c>
      <c r="B14" s="32" t="s">
        <v>32</v>
      </c>
      <c r="C14" s="32" t="s">
        <v>32</v>
      </c>
      <c r="D14" s="32" t="s">
        <v>32</v>
      </c>
      <c r="E14" s="32" t="s">
        <v>32</v>
      </c>
      <c r="F14" s="32" t="s">
        <v>32</v>
      </c>
      <c r="G14" s="32" t="s">
        <v>32</v>
      </c>
      <c r="H14" s="32" t="s">
        <v>32</v>
      </c>
      <c r="I14" s="32" t="s">
        <v>32</v>
      </c>
      <c r="J14" s="32" t="s">
        <v>32</v>
      </c>
      <c r="K14" s="32" t="s">
        <v>32</v>
      </c>
      <c r="L14" s="32"/>
      <c r="M14" s="31"/>
      <c r="N14" s="31"/>
      <c r="O14" s="31"/>
      <c r="V14" s="71"/>
    </row>
    <row r="16" spans="1:22" s="22" customFormat="1" x14ac:dyDescent="0.2">
      <c r="A16" s="30" t="s">
        <v>31</v>
      </c>
      <c r="B16" s="29">
        <v>460</v>
      </c>
      <c r="C16" s="29">
        <v>379</v>
      </c>
      <c r="D16" s="29">
        <v>816.10699999999986</v>
      </c>
      <c r="E16" s="29">
        <v>272</v>
      </c>
      <c r="F16" s="29">
        <v>227.501</v>
      </c>
      <c r="G16" s="29">
        <v>189.392</v>
      </c>
      <c r="H16" s="29">
        <v>300.50000000000017</v>
      </c>
      <c r="I16" s="29">
        <v>172.33</v>
      </c>
      <c r="J16" s="29">
        <v>187.91</v>
      </c>
      <c r="K16" s="29">
        <v>187.26</v>
      </c>
      <c r="L16" s="29">
        <v>264.23699999999968</v>
      </c>
      <c r="M16" s="29">
        <v>130.232</v>
      </c>
      <c r="N16" s="29">
        <v>143.47800000000001</v>
      </c>
      <c r="O16" s="29">
        <v>146.29</v>
      </c>
    </row>
    <row r="17" spans="1:15" s="28" customFormat="1" x14ac:dyDescent="0.2">
      <c r="A17" s="28" t="s">
        <v>30</v>
      </c>
      <c r="B17" s="28">
        <f t="shared" ref="B17" si="3">+B16/B12</f>
        <v>0.26349057419751365</v>
      </c>
      <c r="C17" s="28">
        <f t="shared" ref="C17:I17" si="4">+C16/C12</f>
        <v>0.24282559292051276</v>
      </c>
      <c r="D17" s="28">
        <f t="shared" si="4"/>
        <v>0.63337707925721443</v>
      </c>
      <c r="E17" s="28">
        <f t="shared" si="4"/>
        <v>0.22226743839228733</v>
      </c>
      <c r="F17" s="28">
        <f t="shared" si="4"/>
        <v>0.21904793999557093</v>
      </c>
      <c r="G17" s="28">
        <f t="shared" si="4"/>
        <v>0.18145549936861549</v>
      </c>
      <c r="H17" s="28">
        <f t="shared" si="4"/>
        <v>0.27649269249596087</v>
      </c>
      <c r="I17" s="28">
        <f t="shared" si="4"/>
        <v>0.16414491386987851</v>
      </c>
      <c r="J17" s="28">
        <f t="shared" ref="J17:O17" si="5">+J16/J12</f>
        <v>0.17777824030668188</v>
      </c>
      <c r="K17" s="28">
        <f t="shared" si="5"/>
        <v>0.18456625550096342</v>
      </c>
      <c r="L17" s="28">
        <f t="shared" si="5"/>
        <v>0.28766062976010559</v>
      </c>
      <c r="M17" s="28">
        <f t="shared" si="5"/>
        <v>0.14514637011477344</v>
      </c>
      <c r="N17" s="28">
        <f t="shared" si="5"/>
        <v>0.15586658816014462</v>
      </c>
      <c r="O17" s="28">
        <f t="shared" si="5"/>
        <v>0.2109067736987186</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row>
    <row r="20" spans="1:1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row>
    <row r="21" spans="1:1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row>
    <row r="22" spans="1:15" s="22" customFormat="1" x14ac:dyDescent="0.2">
      <c r="A22" s="22" t="s">
        <v>23</v>
      </c>
      <c r="B22" s="20">
        <f t="shared" ref="B22" si="6">SUM(B16,B19:B21)</f>
        <v>460</v>
      </c>
      <c r="C22" s="20">
        <f t="shared" ref="C22:I22" si="7">SUM(C16,C19:C21)</f>
        <v>379</v>
      </c>
      <c r="D22" s="20">
        <f t="shared" si="7"/>
        <v>816.10699999999986</v>
      </c>
      <c r="E22" s="20">
        <f t="shared" si="7"/>
        <v>272</v>
      </c>
      <c r="F22" s="20">
        <f t="shared" si="7"/>
        <v>227.501</v>
      </c>
      <c r="G22" s="20">
        <f t="shared" si="7"/>
        <v>189.392</v>
      </c>
      <c r="H22" s="20">
        <f t="shared" si="7"/>
        <v>300.50000000000017</v>
      </c>
      <c r="I22" s="20">
        <f t="shared" si="7"/>
        <v>172.33</v>
      </c>
      <c r="J22" s="20">
        <f t="shared" ref="J22:O22" si="8">SUM(J16,J19:J21)</f>
        <v>187.91</v>
      </c>
      <c r="K22" s="20">
        <f t="shared" si="8"/>
        <v>187.26</v>
      </c>
      <c r="L22" s="20">
        <f t="shared" si="8"/>
        <v>264.23699999999968</v>
      </c>
      <c r="M22" s="20">
        <f t="shared" si="8"/>
        <v>130.232</v>
      </c>
      <c r="N22" s="20">
        <f t="shared" si="8"/>
        <v>143.47800000000001</v>
      </c>
      <c r="O22" s="20">
        <f t="shared" si="8"/>
        <v>146.29</v>
      </c>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20">
        <f t="shared" ref="B24:K24" si="9">SUM(B22:E22)</f>
        <v>1927.107</v>
      </c>
      <c r="C24" s="20">
        <f t="shared" si="9"/>
        <v>1694.6079999999999</v>
      </c>
      <c r="D24" s="20">
        <f t="shared" si="9"/>
        <v>1505</v>
      </c>
      <c r="E24" s="20">
        <f t="shared" si="9"/>
        <v>989.39300000000026</v>
      </c>
      <c r="F24" s="20">
        <f t="shared" si="9"/>
        <v>889.7230000000003</v>
      </c>
      <c r="G24" s="20">
        <f t="shared" si="9"/>
        <v>850.13200000000018</v>
      </c>
      <c r="H24" s="20">
        <f t="shared" si="9"/>
        <v>848.00000000000011</v>
      </c>
      <c r="I24" s="20">
        <f t="shared" si="9"/>
        <v>811.73699999999963</v>
      </c>
      <c r="J24" s="20">
        <f t="shared" si="9"/>
        <v>769.63899999999967</v>
      </c>
      <c r="K24" s="20">
        <f t="shared" si="9"/>
        <v>725.20699999999965</v>
      </c>
      <c r="L24" s="20"/>
      <c r="M24" s="20"/>
      <c r="N24" s="20"/>
      <c r="O24" s="20"/>
    </row>
    <row r="25" spans="1:15" s="23" customFormat="1" x14ac:dyDescent="0.2">
      <c r="A25" s="15" t="s">
        <v>26</v>
      </c>
      <c r="B25" s="27">
        <f>1638.033-B24</f>
        <v>-289.07400000000007</v>
      </c>
      <c r="C25" s="27">
        <f>1577-C24</f>
        <v>-117.60799999999995</v>
      </c>
      <c r="D25" s="27">
        <f>1505-D24</f>
        <v>0</v>
      </c>
      <c r="E25" s="27">
        <f>1056-E24</f>
        <v>66.606999999999744</v>
      </c>
      <c r="F25" s="27">
        <f>858.652-F24</f>
        <v>-31.071000000000254</v>
      </c>
      <c r="G25" s="27">
        <f>701.603718-G24</f>
        <v>-148.52828200000022</v>
      </c>
      <c r="H25" s="27">
        <f>848-H24</f>
        <v>0</v>
      </c>
      <c r="I25" s="27">
        <f>720.217-I24</f>
        <v>-91.519999999999641</v>
      </c>
      <c r="J25" s="27">
        <f>709.164-J24</f>
        <v>-60.474999999999682</v>
      </c>
      <c r="K25" s="27">
        <f>701.603718-K24</f>
        <v>-23.603281999999695</v>
      </c>
      <c r="L25" s="27"/>
      <c r="M25" s="27"/>
      <c r="N25" s="27"/>
      <c r="O25" s="27"/>
    </row>
    <row r="26" spans="1:15" s="23" customFormat="1" x14ac:dyDescent="0.2">
      <c r="A26" s="15" t="s">
        <v>25</v>
      </c>
      <c r="B26" s="21">
        <v>0</v>
      </c>
      <c r="C26" s="21">
        <v>0</v>
      </c>
      <c r="D26" s="21">
        <v>0</v>
      </c>
      <c r="E26" s="21">
        <v>0</v>
      </c>
      <c r="F26" s="21">
        <v>0</v>
      </c>
      <c r="G26" s="21">
        <v>0</v>
      </c>
      <c r="H26" s="21">
        <v>0</v>
      </c>
      <c r="I26" s="21">
        <v>0</v>
      </c>
      <c r="J26" s="21">
        <v>0</v>
      </c>
      <c r="K26" s="21">
        <v>0</v>
      </c>
      <c r="L26" s="21"/>
      <c r="M26" s="21"/>
      <c r="N26" s="26"/>
      <c r="O26" s="26"/>
    </row>
    <row r="27" spans="1:15" s="24" customFormat="1" x14ac:dyDescent="0.2">
      <c r="A27" s="22" t="s">
        <v>24</v>
      </c>
      <c r="B27" s="20">
        <f t="shared" ref="B27" si="10">SUM(B24:B26)</f>
        <v>1638.0329999999999</v>
      </c>
      <c r="C27" s="20">
        <f t="shared" ref="C27:I27" si="11">SUM(C24:C26)</f>
        <v>1577</v>
      </c>
      <c r="D27" s="20">
        <f t="shared" si="11"/>
        <v>1505</v>
      </c>
      <c r="E27" s="20">
        <f t="shared" si="11"/>
        <v>1056</v>
      </c>
      <c r="F27" s="20">
        <f t="shared" si="11"/>
        <v>858.65200000000004</v>
      </c>
      <c r="G27" s="20">
        <f t="shared" si="11"/>
        <v>701.60371799999996</v>
      </c>
      <c r="H27" s="20">
        <f t="shared" si="11"/>
        <v>848.00000000000011</v>
      </c>
      <c r="I27" s="20">
        <f t="shared" si="11"/>
        <v>720.21699999999998</v>
      </c>
      <c r="J27" s="20">
        <f t="shared" ref="J27:K27" si="12">SUM(J24:J26)</f>
        <v>709.16399999999999</v>
      </c>
      <c r="K27" s="20">
        <f t="shared" si="12"/>
        <v>701.60371799999996</v>
      </c>
      <c r="L27" s="20"/>
      <c r="M27" s="20"/>
      <c r="N27" s="25"/>
      <c r="O27" s="25"/>
    </row>
    <row r="28" spans="1:15" s="23" customFormat="1" x14ac:dyDescent="0.2"/>
    <row r="29" spans="1:15" s="22" customFormat="1" x14ac:dyDescent="0.2">
      <c r="A29" s="22" t="s">
        <v>23</v>
      </c>
      <c r="B29" s="20">
        <f t="shared" ref="B29:F29" si="13">B22</f>
        <v>460</v>
      </c>
      <c r="C29" s="20">
        <f t="shared" si="13"/>
        <v>379</v>
      </c>
      <c r="D29" s="20">
        <f t="shared" si="13"/>
        <v>816.10699999999986</v>
      </c>
      <c r="E29" s="20">
        <f t="shared" si="13"/>
        <v>272</v>
      </c>
      <c r="F29" s="20">
        <f t="shared" si="13"/>
        <v>227.501</v>
      </c>
      <c r="G29" s="20">
        <f t="shared" ref="G29:O29" si="14">G22</f>
        <v>189.392</v>
      </c>
      <c r="H29" s="20">
        <f t="shared" si="14"/>
        <v>300.50000000000017</v>
      </c>
      <c r="I29" s="20">
        <f t="shared" si="14"/>
        <v>172.33</v>
      </c>
      <c r="J29" s="20">
        <f t="shared" si="14"/>
        <v>187.91</v>
      </c>
      <c r="K29" s="20">
        <f t="shared" si="14"/>
        <v>187.26</v>
      </c>
      <c r="L29" s="20">
        <f t="shared" si="14"/>
        <v>264.23699999999968</v>
      </c>
      <c r="M29" s="20">
        <f t="shared" si="14"/>
        <v>130.232</v>
      </c>
      <c r="N29" s="20">
        <f t="shared" si="14"/>
        <v>143.47800000000001</v>
      </c>
      <c r="O29" s="20">
        <f t="shared" si="14"/>
        <v>146.29</v>
      </c>
    </row>
    <row r="30" spans="1:15" s="11" customFormat="1" x14ac:dyDescent="0.2">
      <c r="A30" s="19" t="s">
        <v>22</v>
      </c>
      <c r="B30" s="19">
        <v>-146.99100000000001</v>
      </c>
      <c r="C30" s="19">
        <v>-148.55600000000001</v>
      </c>
      <c r="D30" s="19">
        <v>-124.13</v>
      </c>
      <c r="E30" s="19">
        <v>-95.483000000000004</v>
      </c>
      <c r="F30" s="19">
        <v>-87.415000000000006</v>
      </c>
      <c r="G30" s="19">
        <v>-83.168999999999997</v>
      </c>
      <c r="H30" s="19">
        <v>-85.944000000000017</v>
      </c>
      <c r="I30" s="19">
        <v>-75.233000000000004</v>
      </c>
      <c r="J30" s="19">
        <v>-75.686000000000007</v>
      </c>
      <c r="K30" s="19">
        <v>-75.933999999999997</v>
      </c>
      <c r="L30" s="19">
        <v>-24.243000000000023</v>
      </c>
      <c r="M30" s="19">
        <v>-48.713000000000001</v>
      </c>
      <c r="N30" s="19">
        <v>-47.972999999999999</v>
      </c>
      <c r="O30" s="19">
        <v>-41.478000000000002</v>
      </c>
    </row>
    <row r="31" spans="1:15" s="11" customFormat="1" x14ac:dyDescent="0.2">
      <c r="A31" s="19" t="s">
        <v>21</v>
      </c>
      <c r="B31" s="19">
        <v>-30.343</v>
      </c>
      <c r="C31" s="19">
        <v>-6.5629999999999997</v>
      </c>
      <c r="D31" s="19">
        <v>-0.98900000000000432</v>
      </c>
      <c r="E31" s="19">
        <v>-17.382999999999999</v>
      </c>
      <c r="F31" s="19">
        <v>-17.405999999999999</v>
      </c>
      <c r="G31" s="19">
        <v>25.039000000000001</v>
      </c>
      <c r="H31" s="19">
        <v>53.815999999999995</v>
      </c>
      <c r="I31" s="19">
        <v>1.7729999999999999</v>
      </c>
      <c r="J31" s="19">
        <v>-3.1509999999999998</v>
      </c>
      <c r="K31" s="19">
        <v>-0.23300000000000001</v>
      </c>
      <c r="L31" s="19">
        <v>-15.723000000000001</v>
      </c>
      <c r="M31" s="19">
        <v>11.269</v>
      </c>
      <c r="N31" s="19">
        <v>-10.547000000000001</v>
      </c>
      <c r="O31" s="19">
        <v>14.403</v>
      </c>
    </row>
    <row r="32" spans="1:15" s="11" customFormat="1" x14ac:dyDescent="0.2">
      <c r="A32" s="19" t="s">
        <v>20</v>
      </c>
      <c r="B32" s="19">
        <v>65.397999999999996</v>
      </c>
      <c r="C32" s="19">
        <v>-23.462</v>
      </c>
      <c r="D32" s="19">
        <v>73.578000000000003</v>
      </c>
      <c r="E32" s="19">
        <v>93.632999999999996</v>
      </c>
      <c r="F32" s="19">
        <v>-92.58</v>
      </c>
      <c r="G32" s="19">
        <v>-45.003</v>
      </c>
      <c r="H32" s="19">
        <v>-77.679000000000016</v>
      </c>
      <c r="I32" s="19">
        <v>120.12</v>
      </c>
      <c r="J32" s="19">
        <v>-34.14500000000001</v>
      </c>
      <c r="K32" s="19">
        <v>30.609000000000002</v>
      </c>
      <c r="L32" s="19">
        <v>-110.21600000000001</v>
      </c>
      <c r="M32" s="19">
        <v>46.12</v>
      </c>
      <c r="N32" s="19">
        <v>-57.259</v>
      </c>
      <c r="O32" s="19">
        <v>-19.876999999999995</v>
      </c>
    </row>
    <row r="33" spans="1:16"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row>
    <row r="34" spans="1:16"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row>
    <row r="35" spans="1:16" s="20" customFormat="1" x14ac:dyDescent="0.2">
      <c r="A35" s="20" t="s">
        <v>17</v>
      </c>
      <c r="B35" s="20">
        <v>282.39300000000003</v>
      </c>
      <c r="C35" s="20">
        <v>176.232</v>
      </c>
      <c r="D35" s="20">
        <v>15.288999999999987</v>
      </c>
      <c r="E35" s="20">
        <v>254.815</v>
      </c>
      <c r="F35" s="20">
        <v>149.40600000000001</v>
      </c>
      <c r="G35" s="20">
        <v>82.504999999999995</v>
      </c>
      <c r="H35" s="20">
        <v>-135.38300000000001</v>
      </c>
      <c r="I35" s="20">
        <v>144.31700000000001</v>
      </c>
      <c r="J35" s="20">
        <v>71.47399999999999</v>
      </c>
      <c r="K35" s="20">
        <v>145.726</v>
      </c>
      <c r="L35" s="20">
        <v>-53.968000000000004</v>
      </c>
      <c r="M35" s="20">
        <v>109.60700000000001</v>
      </c>
      <c r="N35" s="20">
        <v>29.699999999999996</v>
      </c>
      <c r="O35" s="20">
        <v>17.844000000000001</v>
      </c>
    </row>
    <row r="36" spans="1:16" s="11" customFormat="1" x14ac:dyDescent="0.2">
      <c r="A36" s="19" t="s">
        <v>16</v>
      </c>
      <c r="B36" s="21">
        <v>-62.085999999999991</v>
      </c>
      <c r="C36" s="21">
        <v>-46.142000000000003</v>
      </c>
      <c r="D36" s="21">
        <v>-36.731000000000023</v>
      </c>
      <c r="E36" s="21">
        <v>-28.881999999999991</v>
      </c>
      <c r="F36" s="21">
        <v>-44.748000000000005</v>
      </c>
      <c r="G36" s="21">
        <v>-68.504999999999995</v>
      </c>
      <c r="H36" s="21">
        <v>-75.328000000000003</v>
      </c>
      <c r="I36" s="21">
        <v>-71.911000000000001</v>
      </c>
      <c r="J36" s="21">
        <v>-79.655999999999992</v>
      </c>
      <c r="K36" s="21">
        <v>-63.61</v>
      </c>
      <c r="L36" s="21">
        <v>-59.821999999999989</v>
      </c>
      <c r="M36" s="21">
        <v>-34.165000000000006</v>
      </c>
      <c r="N36" s="21">
        <v>-35.86399999999999</v>
      </c>
      <c r="O36" s="21">
        <v>-34.718000000000004</v>
      </c>
    </row>
    <row r="37" spans="1:16" s="20" customFormat="1" x14ac:dyDescent="0.2">
      <c r="A37" s="20" t="s">
        <v>15</v>
      </c>
      <c r="B37" s="20">
        <f t="shared" ref="B37:I37" si="15">+B35+B36</f>
        <v>220.30700000000004</v>
      </c>
      <c r="C37" s="20">
        <f t="shared" si="15"/>
        <v>130.09</v>
      </c>
      <c r="D37" s="20">
        <f t="shared" si="15"/>
        <v>-21.442000000000036</v>
      </c>
      <c r="E37" s="20">
        <f t="shared" si="15"/>
        <v>225.93299999999999</v>
      </c>
      <c r="F37" s="20">
        <f t="shared" si="15"/>
        <v>104.658</v>
      </c>
      <c r="G37" s="20">
        <f t="shared" si="15"/>
        <v>14</v>
      </c>
      <c r="H37" s="20">
        <f t="shared" si="15"/>
        <v>-210.71100000000001</v>
      </c>
      <c r="I37" s="20">
        <f t="shared" si="15"/>
        <v>72.406000000000006</v>
      </c>
      <c r="J37" s="20">
        <f t="shared" ref="J37:O37" si="16">+J35+J36</f>
        <v>-8.1820000000000022</v>
      </c>
      <c r="K37" s="20">
        <f t="shared" si="16"/>
        <v>82.116</v>
      </c>
      <c r="L37" s="20">
        <f t="shared" si="16"/>
        <v>-113.78999999999999</v>
      </c>
      <c r="M37" s="20">
        <f t="shared" si="16"/>
        <v>75.442000000000007</v>
      </c>
      <c r="N37" s="20">
        <f t="shared" si="16"/>
        <v>-6.1639999999999944</v>
      </c>
      <c r="O37" s="20">
        <f t="shared" si="16"/>
        <v>-16.874000000000002</v>
      </c>
    </row>
    <row r="39" spans="1:16" s="16" customFormat="1" x14ac:dyDescent="0.2">
      <c r="A39" s="18" t="s">
        <v>14</v>
      </c>
      <c r="B39" s="19">
        <v>0</v>
      </c>
      <c r="C39" s="19">
        <v>0</v>
      </c>
      <c r="D39" s="19">
        <v>150</v>
      </c>
      <c r="E39" s="19">
        <v>0</v>
      </c>
      <c r="F39" s="19">
        <v>0</v>
      </c>
      <c r="G39" s="19">
        <v>217</v>
      </c>
      <c r="H39" s="19">
        <v>140</v>
      </c>
      <c r="I39" s="19">
        <v>0</v>
      </c>
      <c r="J39" s="19">
        <v>0</v>
      </c>
      <c r="K39" s="19">
        <v>0</v>
      </c>
      <c r="L39" s="19"/>
      <c r="M39" s="19"/>
      <c r="N39" s="19"/>
      <c r="O39" s="19"/>
    </row>
    <row r="40" spans="1:16" s="16" customFormat="1" x14ac:dyDescent="0.2">
      <c r="A40" s="18" t="s">
        <v>13</v>
      </c>
      <c r="B40" s="19">
        <v>6097</v>
      </c>
      <c r="C40" s="19">
        <f>6104.1-C39</f>
        <v>6104.1</v>
      </c>
      <c r="D40" s="19">
        <f>6261.309-D39</f>
        <v>6111.3090000000002</v>
      </c>
      <c r="E40" s="19">
        <v>3534.4</v>
      </c>
      <c r="F40" s="19">
        <v>3546.1</v>
      </c>
      <c r="G40" s="19">
        <f>3021-G39</f>
        <v>2804</v>
      </c>
      <c r="H40" s="19">
        <f>3028.169-H39</f>
        <v>2888.1689999999999</v>
      </c>
      <c r="I40" s="19">
        <v>2843.621369</v>
      </c>
      <c r="J40" s="19">
        <v>2843.6209999999996</v>
      </c>
      <c r="K40" s="19">
        <v>2850.1342460000001</v>
      </c>
      <c r="L40" s="19"/>
      <c r="M40" s="19"/>
      <c r="N40" s="19"/>
      <c r="O40" s="19"/>
    </row>
    <row r="41" spans="1:16" s="16" customFormat="1" x14ac:dyDescent="0.2">
      <c r="A41" s="18" t="s">
        <v>12</v>
      </c>
      <c r="B41" s="19">
        <f t="shared" ref="B41:K41" si="17">B39+B40+485</f>
        <v>6582</v>
      </c>
      <c r="C41" s="19">
        <f t="shared" si="17"/>
        <v>6589.1</v>
      </c>
      <c r="D41" s="19">
        <f t="shared" si="17"/>
        <v>6746.3090000000002</v>
      </c>
      <c r="E41" s="19">
        <f t="shared" si="17"/>
        <v>4019.4</v>
      </c>
      <c r="F41" s="19">
        <f t="shared" si="17"/>
        <v>4031.1</v>
      </c>
      <c r="G41" s="19">
        <f t="shared" si="17"/>
        <v>3506</v>
      </c>
      <c r="H41" s="19">
        <f t="shared" si="17"/>
        <v>3513.1689999999999</v>
      </c>
      <c r="I41" s="19">
        <f t="shared" si="17"/>
        <v>3328.621369</v>
      </c>
      <c r="J41" s="19">
        <f t="shared" si="17"/>
        <v>3328.6209999999996</v>
      </c>
      <c r="K41" s="19">
        <f t="shared" si="17"/>
        <v>3335.1342460000001</v>
      </c>
      <c r="L41" s="19"/>
      <c r="M41" s="19"/>
      <c r="N41" s="19"/>
      <c r="O41" s="19"/>
    </row>
    <row r="42" spans="1:16" s="16" customFormat="1" x14ac:dyDescent="0.2">
      <c r="A42" s="18" t="s">
        <v>11</v>
      </c>
      <c r="B42" s="17"/>
      <c r="C42" s="17"/>
      <c r="D42" s="17"/>
      <c r="E42" s="17"/>
      <c r="F42" s="17"/>
      <c r="G42" s="17"/>
      <c r="H42" s="17"/>
      <c r="I42" s="17"/>
      <c r="J42" s="17"/>
      <c r="K42" s="17"/>
      <c r="L42" s="17"/>
      <c r="M42" s="17"/>
      <c r="N42" s="17"/>
      <c r="O42" s="17"/>
    </row>
    <row r="43" spans="1:16" x14ac:dyDescent="0.2">
      <c r="B43" s="16"/>
      <c r="C43" s="16"/>
      <c r="D43" s="16"/>
      <c r="E43" s="16"/>
      <c r="F43" s="16"/>
      <c r="G43" s="16"/>
      <c r="H43" s="16"/>
      <c r="I43" s="16"/>
      <c r="J43" s="16"/>
      <c r="K43" s="16"/>
    </row>
    <row r="44" spans="1:16" x14ac:dyDescent="0.2">
      <c r="A44" s="15" t="s">
        <v>10</v>
      </c>
      <c r="B44" s="27">
        <v>846.53</v>
      </c>
      <c r="C44" s="27">
        <v>644.4</v>
      </c>
      <c r="D44" s="27">
        <v>700.17499999999995</v>
      </c>
      <c r="E44" s="27">
        <v>1407.287</v>
      </c>
      <c r="F44" s="27">
        <v>1001.55</v>
      </c>
      <c r="G44" s="27">
        <v>598.99199999999996</v>
      </c>
      <c r="H44" s="27">
        <v>128.65199999999999</v>
      </c>
      <c r="I44" s="27">
        <v>123.57899999999999</v>
      </c>
      <c r="J44" s="27">
        <v>103.117</v>
      </c>
      <c r="K44" s="27">
        <v>125</v>
      </c>
      <c r="L44" s="27"/>
      <c r="M44" s="27"/>
      <c r="N44" s="27"/>
      <c r="O44" s="14"/>
    </row>
    <row r="46" spans="1:16" x14ac:dyDescent="0.2">
      <c r="A46" s="1" t="s">
        <v>9</v>
      </c>
      <c r="B46" s="11">
        <f t="shared" ref="B46:I46" si="18">SUM(B12:E12)</f>
        <v>5818.8359999999993</v>
      </c>
      <c r="C46" s="11">
        <f t="shared" si="18"/>
        <v>5111.6329999999998</v>
      </c>
      <c r="D46" s="11">
        <f t="shared" si="18"/>
        <v>4594.58</v>
      </c>
      <c r="E46" s="11">
        <f t="shared" si="18"/>
        <v>4392.9069999999992</v>
      </c>
      <c r="F46" s="11">
        <f t="shared" si="18"/>
        <v>4219.0209999999997</v>
      </c>
      <c r="G46" s="11">
        <f t="shared" si="18"/>
        <v>4237.4219999999996</v>
      </c>
      <c r="H46" s="11">
        <f t="shared" si="18"/>
        <v>4208.2790000000005</v>
      </c>
      <c r="I46" s="11">
        <f t="shared" si="18"/>
        <v>4040.0230000000001</v>
      </c>
      <c r="J46" s="11">
        <f t="shared" ref="J46:K46" si="19">SUM(J12:M12)</f>
        <v>3887.4040000000005</v>
      </c>
      <c r="K46" s="11">
        <f t="shared" si="19"/>
        <v>3750.931</v>
      </c>
      <c r="L46" s="11"/>
      <c r="M46" s="11"/>
      <c r="P46" s="71"/>
    </row>
    <row r="47" spans="1:16" x14ac:dyDescent="0.2">
      <c r="A47" s="1" t="s">
        <v>8</v>
      </c>
      <c r="B47" s="11">
        <f t="shared" ref="B47:C47" si="20">+B27</f>
        <v>1638.0329999999999</v>
      </c>
      <c r="C47" s="11">
        <f t="shared" si="20"/>
        <v>1577</v>
      </c>
      <c r="D47" s="11">
        <f t="shared" ref="D47:E47" si="21">+D27</f>
        <v>1505</v>
      </c>
      <c r="E47" s="11">
        <f t="shared" si="21"/>
        <v>1056</v>
      </c>
      <c r="F47" s="11">
        <f t="shared" ref="F47:K47" si="22">+F27</f>
        <v>858.65200000000004</v>
      </c>
      <c r="G47" s="11">
        <f t="shared" si="22"/>
        <v>701.60371799999996</v>
      </c>
      <c r="H47" s="11">
        <f t="shared" si="22"/>
        <v>848.00000000000011</v>
      </c>
      <c r="I47" s="11">
        <f t="shared" si="22"/>
        <v>720.21699999999998</v>
      </c>
      <c r="J47" s="11">
        <f t="shared" si="22"/>
        <v>709.16399999999999</v>
      </c>
      <c r="K47" s="11">
        <f t="shared" si="22"/>
        <v>701.60371799999996</v>
      </c>
      <c r="L47" s="11"/>
      <c r="M47" s="11"/>
      <c r="P47" s="71"/>
    </row>
    <row r="48" spans="1:16" x14ac:dyDescent="0.2">
      <c r="A48" s="1" t="s">
        <v>7</v>
      </c>
      <c r="B48" s="11">
        <f t="shared" ref="B48:K48" si="23">+SUM(B37:E37)</f>
        <v>554.88800000000003</v>
      </c>
      <c r="C48" s="11">
        <f t="shared" si="23"/>
        <v>439.23899999999998</v>
      </c>
      <c r="D48" s="11">
        <f t="shared" si="23"/>
        <v>323.14899999999994</v>
      </c>
      <c r="E48" s="11">
        <f t="shared" si="23"/>
        <v>133.88</v>
      </c>
      <c r="F48" s="11">
        <f t="shared" si="23"/>
        <v>-19.647000000000006</v>
      </c>
      <c r="G48" s="11">
        <f t="shared" si="23"/>
        <v>-132.48700000000002</v>
      </c>
      <c r="H48" s="11">
        <f t="shared" si="23"/>
        <v>-64.371000000000024</v>
      </c>
      <c r="I48" s="11">
        <f t="shared" si="23"/>
        <v>32.550000000000011</v>
      </c>
      <c r="J48" s="11">
        <f t="shared" si="23"/>
        <v>35.586000000000013</v>
      </c>
      <c r="K48" s="11">
        <f t="shared" si="23"/>
        <v>37.604000000000021</v>
      </c>
      <c r="L48" s="11"/>
      <c r="M48" s="11"/>
    </row>
    <row r="50" spans="1:15" s="10" customFormat="1" x14ac:dyDescent="0.2">
      <c r="A50" s="10" t="s">
        <v>6</v>
      </c>
      <c r="B50" s="10">
        <f t="shared" ref="B50" si="24">+SUM(B39:B40)/B47</f>
        <v>3.7221472339079864</v>
      </c>
      <c r="C50" s="10">
        <f t="shared" ref="C50:I50" si="25">+SUM(C39:C40)/C47</f>
        <v>3.8707038681039951</v>
      </c>
      <c r="D50" s="10">
        <f t="shared" si="25"/>
        <v>4.1603382059800662</v>
      </c>
      <c r="E50" s="10">
        <f t="shared" si="25"/>
        <v>3.3469696969696972</v>
      </c>
      <c r="F50" s="10">
        <f t="shared" si="25"/>
        <v>4.1298453855578279</v>
      </c>
      <c r="G50" s="10">
        <f t="shared" si="25"/>
        <v>4.3058494738478572</v>
      </c>
      <c r="H50" s="10">
        <f t="shared" si="25"/>
        <v>3.5709540094339616</v>
      </c>
      <c r="I50" s="10">
        <f t="shared" si="25"/>
        <v>3.9482841546367275</v>
      </c>
      <c r="J50" s="10">
        <f t="shared" ref="J50:K50" si="26">+SUM(J39:J40)/J47</f>
        <v>4.0098214235353176</v>
      </c>
      <c r="K50" s="10">
        <f t="shared" si="26"/>
        <v>4.0623134867708899</v>
      </c>
    </row>
    <row r="51" spans="1:15" s="10" customFormat="1" x14ac:dyDescent="0.2">
      <c r="A51" s="10" t="s">
        <v>5</v>
      </c>
      <c r="B51" s="10">
        <f t="shared" ref="B51" si="27">+B41/B47</f>
        <v>4.0182340648814767</v>
      </c>
      <c r="C51" s="10">
        <f t="shared" ref="C51:I51" si="28">+C41/C47</f>
        <v>4.178249841471148</v>
      </c>
      <c r="D51" s="10">
        <f t="shared" si="28"/>
        <v>4.4825973421926912</v>
      </c>
      <c r="E51" s="10">
        <f t="shared" si="28"/>
        <v>3.8062499999999999</v>
      </c>
      <c r="F51" s="10">
        <f t="shared" si="28"/>
        <v>4.6946842259728037</v>
      </c>
      <c r="G51" s="10">
        <f t="shared" si="28"/>
        <v>4.9971228915294894</v>
      </c>
      <c r="H51" s="10">
        <f t="shared" si="28"/>
        <v>4.1428879716981122</v>
      </c>
      <c r="I51" s="10">
        <f t="shared" si="28"/>
        <v>4.6216923080127241</v>
      </c>
      <c r="J51" s="10">
        <f t="shared" ref="J51:K51" si="29">+J41/J47</f>
        <v>4.6937252878036668</v>
      </c>
      <c r="K51" s="10">
        <f t="shared" si="29"/>
        <v>4.7535869044525221</v>
      </c>
    </row>
    <row r="52" spans="1:15" s="10" customFormat="1" x14ac:dyDescent="0.2">
      <c r="A52" s="10" t="s">
        <v>4</v>
      </c>
      <c r="B52" s="10">
        <f t="shared" ref="B52" si="30">+(B41-B44)/B47</f>
        <v>3.5014373947289221</v>
      </c>
      <c r="C52" s="10">
        <f t="shared" ref="C52:I52" si="31">+(C41-C44)/C47</f>
        <v>3.7696258719086879</v>
      </c>
      <c r="D52" s="10">
        <f t="shared" si="31"/>
        <v>4.0173647840531563</v>
      </c>
      <c r="E52" s="10">
        <f t="shared" si="31"/>
        <v>2.4735918560606063</v>
      </c>
      <c r="F52" s="10">
        <f t="shared" si="31"/>
        <v>3.5282629051117333</v>
      </c>
      <c r="G52" s="10">
        <f t="shared" si="31"/>
        <v>4.1433759904904042</v>
      </c>
      <c r="H52" s="10">
        <f t="shared" si="31"/>
        <v>3.991175707547169</v>
      </c>
      <c r="I52" s="10">
        <f t="shared" si="31"/>
        <v>4.4501065220621001</v>
      </c>
      <c r="J52" s="10">
        <f t="shared" ref="J52:K52" si="32">+(J41-J44)/J47</f>
        <v>4.5483188655938536</v>
      </c>
      <c r="K52" s="10">
        <f t="shared" si="32"/>
        <v>4.5754236524727201</v>
      </c>
    </row>
    <row r="53" spans="1:15" s="6" customFormat="1" x14ac:dyDescent="0.2">
      <c r="A53" s="6" t="s">
        <v>3</v>
      </c>
      <c r="B53" s="6">
        <f t="shared" ref="B53:C53" si="33">+B48/B41</f>
        <v>8.4303859009419641E-2</v>
      </c>
      <c r="C53" s="6">
        <f t="shared" si="33"/>
        <v>6.6661456041037459E-2</v>
      </c>
      <c r="D53" s="6">
        <f t="shared" ref="D53:E53" si="34">+D48/D41</f>
        <v>4.7900118420309529E-2</v>
      </c>
      <c r="E53" s="6">
        <f t="shared" si="34"/>
        <v>3.3308453998109167E-2</v>
      </c>
      <c r="F53" s="6">
        <f t="shared" ref="F53:K53" si="35">+F48/F41</f>
        <v>-4.8738557713775407E-3</v>
      </c>
      <c r="G53" s="6">
        <f t="shared" si="35"/>
        <v>-3.7788648031945246E-2</v>
      </c>
      <c r="H53" s="6">
        <f t="shared" si="35"/>
        <v>-1.8322773541494881E-2</v>
      </c>
      <c r="I53" s="6">
        <f t="shared" si="35"/>
        <v>9.778823239898515E-3</v>
      </c>
      <c r="J53" s="6">
        <f t="shared" si="35"/>
        <v>1.0690913744760973E-2</v>
      </c>
      <c r="K53" s="6">
        <f t="shared" si="35"/>
        <v>1.1275108354363982E-2</v>
      </c>
    </row>
    <row r="54" spans="1:15" s="6" customFormat="1" x14ac:dyDescent="0.2">
      <c r="A54" s="8" t="s">
        <v>2</v>
      </c>
      <c r="B54" s="9"/>
      <c r="C54" s="9"/>
      <c r="D54" s="9"/>
      <c r="E54" s="9"/>
      <c r="F54" s="9"/>
      <c r="G54" s="9"/>
      <c r="H54" s="9"/>
      <c r="I54" s="9"/>
      <c r="J54" s="9"/>
      <c r="K54" s="9"/>
      <c r="L54" s="9"/>
      <c r="M54" s="9"/>
      <c r="N54" s="8"/>
      <c r="O54" s="8"/>
    </row>
    <row r="55" spans="1:15" s="6" customFormat="1" x14ac:dyDescent="0.2">
      <c r="A55" s="6" t="s">
        <v>1</v>
      </c>
      <c r="B55" s="7" t="str">
        <f t="shared" ref="B55:C55" si="36">IF(B42=0,IF(B54="","","*"&amp;TEXT(B54,"0.0x")),(B41+B42-B44)/B47)</f>
        <v/>
      </c>
      <c r="C55" s="7" t="str">
        <f t="shared" si="36"/>
        <v/>
      </c>
      <c r="D55" s="7" t="str">
        <f t="shared" ref="D55:E55" si="37">IF(D42=0,IF(D54="","","*"&amp;TEXT(D54,"0.0x")),(D41+D42-D44)/D47)</f>
        <v/>
      </c>
      <c r="E55" s="7" t="str">
        <f t="shared" si="37"/>
        <v/>
      </c>
      <c r="F55" s="7" t="str">
        <f t="shared" ref="F55:K55" si="38">IF(F42=0,IF(F54="","","*"&amp;TEXT(F54,"0.0x")),(F41+F42-F44)/F47)</f>
        <v/>
      </c>
      <c r="G55" s="7" t="str">
        <f t="shared" si="38"/>
        <v/>
      </c>
      <c r="H55" s="7" t="str">
        <f t="shared" si="38"/>
        <v/>
      </c>
      <c r="I55" s="7" t="str">
        <f t="shared" si="38"/>
        <v/>
      </c>
      <c r="J55" s="7" t="str">
        <f t="shared" si="38"/>
        <v/>
      </c>
      <c r="K55" s="7" t="str">
        <f t="shared" si="38"/>
        <v/>
      </c>
      <c r="L55" s="7"/>
      <c r="M55" s="7"/>
      <c r="N55" s="7" t="str">
        <f t="shared" ref="N55:O55" si="39">IF(N42=0,IF(N54="","",CONCATENATE("* ",N54,"x")),(N41+N42-N44)/N47)</f>
        <v/>
      </c>
      <c r="O55" s="7" t="str">
        <f t="shared" si="39"/>
        <v/>
      </c>
    </row>
    <row r="56" spans="1:15" x14ac:dyDescent="0.2">
      <c r="M56" s="3"/>
    </row>
    <row r="57" spans="1:15" ht="80.25" customHeight="1" x14ac:dyDescent="0.2">
      <c r="A57" s="5" t="s">
        <v>0</v>
      </c>
      <c r="B57" s="4" t="s">
        <v>104</v>
      </c>
      <c r="C57" s="4" t="s">
        <v>104</v>
      </c>
      <c r="D57" s="4" t="s">
        <v>104</v>
      </c>
      <c r="E57" s="4" t="s">
        <v>104</v>
      </c>
      <c r="F57" s="4" t="s">
        <v>104</v>
      </c>
      <c r="G57" s="4" t="s">
        <v>104</v>
      </c>
      <c r="H57" s="4" t="s">
        <v>104</v>
      </c>
      <c r="I57" s="4" t="s">
        <v>104</v>
      </c>
      <c r="J57" s="4" t="s">
        <v>104</v>
      </c>
      <c r="K57" s="4" t="s">
        <v>104</v>
      </c>
      <c r="L57" s="4"/>
      <c r="M57" s="4"/>
      <c r="N57" s="4"/>
      <c r="O57" s="4"/>
    </row>
    <row r="58" spans="1:15" x14ac:dyDescent="0.2">
      <c r="A58" s="2"/>
      <c r="B58" s="3"/>
      <c r="C58" s="3"/>
      <c r="D58" s="3"/>
      <c r="E58" s="3"/>
      <c r="F58" s="3"/>
      <c r="G58" s="3"/>
      <c r="H58" s="3"/>
      <c r="I58" s="3"/>
      <c r="J58" s="3"/>
      <c r="K58" s="3"/>
      <c r="L58" s="3"/>
      <c r="M58" s="3"/>
    </row>
    <row r="59" spans="1:15" x14ac:dyDescent="0.2">
      <c r="A59" s="2"/>
    </row>
  </sheetData>
  <pageMargins left="0.7" right="0.7" top="0.75" bottom="0.75" header="0.3" footer="0.3"/>
  <pageSetup orientation="portrait" r:id="rId1"/>
  <ignoredErrors>
    <ignoredError sqref="I50:K51 I46:K48 F46:H48" formulaRange="1"/>
  </ignoredError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2:U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4" width="10.7109375" style="1" customWidth="1"/>
    <col min="15" max="17" width="9.140625" style="1"/>
    <col min="18" max="18" width="10.42578125" style="1" bestFit="1" customWidth="1"/>
    <col min="19" max="21" width="9.42578125" style="1" bestFit="1" customWidth="1"/>
    <col min="22" max="16384" width="9.140625" style="1"/>
  </cols>
  <sheetData>
    <row r="2" spans="1:21" x14ac:dyDescent="0.2">
      <c r="A2" s="34" t="s">
        <v>45</v>
      </c>
      <c r="B2" s="1" t="s">
        <v>218</v>
      </c>
    </row>
    <row r="3" spans="1:21" s="35" customFormat="1" x14ac:dyDescent="0.2">
      <c r="A3" s="36" t="s">
        <v>43</v>
      </c>
      <c r="B3" s="35" t="s">
        <v>217</v>
      </c>
    </row>
    <row r="4" spans="1:21" x14ac:dyDescent="0.2">
      <c r="A4" s="34" t="s">
        <v>41</v>
      </c>
      <c r="B4" s="1" t="s">
        <v>40</v>
      </c>
    </row>
    <row r="5" spans="1:21" x14ac:dyDescent="0.2">
      <c r="A5" s="34" t="s">
        <v>39</v>
      </c>
    </row>
    <row r="6" spans="1:21" x14ac:dyDescent="0.2">
      <c r="A6" s="34" t="s">
        <v>38</v>
      </c>
      <c r="B6" s="1">
        <v>3</v>
      </c>
    </row>
    <row r="7" spans="1:21" x14ac:dyDescent="0.2">
      <c r="A7" s="34" t="s">
        <v>37</v>
      </c>
      <c r="B7" s="1" t="e">
        <v>#N/A</v>
      </c>
    </row>
    <row r="8" spans="1:21" x14ac:dyDescent="0.2">
      <c r="A8" s="34" t="s">
        <v>281</v>
      </c>
      <c r="B8" s="1" t="e">
        <v>#N/A</v>
      </c>
    </row>
    <row r="9" spans="1:21" x14ac:dyDescent="0.2">
      <c r="A9" s="22"/>
      <c r="R9" s="1" t="s">
        <v>216</v>
      </c>
      <c r="S9" s="1" t="s">
        <v>215</v>
      </c>
      <c r="T9" s="1" t="s">
        <v>215</v>
      </c>
      <c r="U9" s="1" t="s">
        <v>214</v>
      </c>
    </row>
    <row r="10" spans="1:21" x14ac:dyDescent="0.2">
      <c r="A10" s="22" t="s">
        <v>36</v>
      </c>
      <c r="B10" s="33">
        <v>43373</v>
      </c>
      <c r="C10" s="33">
        <v>43281</v>
      </c>
      <c r="D10" s="33">
        <v>43190</v>
      </c>
      <c r="E10" s="33">
        <v>43100</v>
      </c>
      <c r="F10" s="33">
        <v>43008</v>
      </c>
      <c r="G10" s="33">
        <v>42916</v>
      </c>
      <c r="H10" s="33">
        <v>42825</v>
      </c>
      <c r="I10" s="33">
        <v>42735</v>
      </c>
      <c r="J10" s="33">
        <v>42643</v>
      </c>
      <c r="K10" s="33">
        <v>42551</v>
      </c>
      <c r="L10" s="33">
        <v>42460</v>
      </c>
      <c r="M10" s="33">
        <v>42369</v>
      </c>
      <c r="N10" s="33">
        <v>42277</v>
      </c>
      <c r="R10" s="2">
        <v>42735</v>
      </c>
      <c r="S10" s="2">
        <v>42916</v>
      </c>
      <c r="T10" s="2">
        <v>42551</v>
      </c>
      <c r="U10" s="2">
        <v>42916</v>
      </c>
    </row>
    <row r="12" spans="1:21" x14ac:dyDescent="0.2">
      <c r="A12" s="15" t="s">
        <v>35</v>
      </c>
      <c r="B12" s="19">
        <v>152.73477700000001</v>
      </c>
      <c r="C12" s="19">
        <v>153.99327299999999</v>
      </c>
      <c r="D12" s="19">
        <v>136.216013</v>
      </c>
      <c r="E12" s="19">
        <f>537.8-H12-G12-F12</f>
        <v>134.01153599999998</v>
      </c>
      <c r="F12" s="19">
        <v>135.169464</v>
      </c>
      <c r="G12" s="19">
        <v>138.38999999999999</v>
      </c>
      <c r="H12" s="19">
        <v>130.22899999999998</v>
      </c>
      <c r="I12" s="19">
        <v>127.983</v>
      </c>
      <c r="J12" s="19">
        <v>122.458</v>
      </c>
      <c r="K12" s="19">
        <v>126.551</v>
      </c>
      <c r="L12" s="19">
        <v>121.008</v>
      </c>
      <c r="M12" s="19">
        <v>113.655</v>
      </c>
      <c r="N12" s="19">
        <v>121.52200000000001</v>
      </c>
      <c r="R12" s="70">
        <v>500</v>
      </c>
      <c r="S12" s="70">
        <v>268.62064299999997</v>
      </c>
      <c r="T12" s="70">
        <v>248.35121799999999</v>
      </c>
      <c r="U12" s="70">
        <f>R12+S12-T12</f>
        <v>520.26942499999996</v>
      </c>
    </row>
    <row r="13" spans="1:21" s="28" customFormat="1" x14ac:dyDescent="0.2">
      <c r="A13" s="28" t="s">
        <v>34</v>
      </c>
      <c r="B13" s="28">
        <f t="shared" ref="B13:J13" si="0">+B12/F12-1</f>
        <v>0.12995030445633793</v>
      </c>
      <c r="C13" s="28">
        <f t="shared" si="0"/>
        <v>0.11274855842185127</v>
      </c>
      <c r="D13" s="28">
        <f t="shared" si="0"/>
        <v>4.5972963011311041E-2</v>
      </c>
      <c r="E13" s="28">
        <f t="shared" si="0"/>
        <v>4.7104193525702387E-2</v>
      </c>
      <c r="F13" s="28">
        <f t="shared" si="0"/>
        <v>0.10380264253866645</v>
      </c>
      <c r="G13" s="28">
        <f t="shared" si="0"/>
        <v>9.35512165055985E-2</v>
      </c>
      <c r="H13" s="28">
        <f t="shared" si="0"/>
        <v>7.6201573449689253E-2</v>
      </c>
      <c r="I13" s="28">
        <f t="shared" si="0"/>
        <v>0.12606572522106374</v>
      </c>
      <c r="J13" s="28">
        <f t="shared" si="0"/>
        <v>7.702309046921485E-3</v>
      </c>
    </row>
    <row r="14" spans="1:21" s="23" customFormat="1" x14ac:dyDescent="0.2">
      <c r="A14" s="31" t="s">
        <v>33</v>
      </c>
      <c r="B14" s="32"/>
      <c r="C14" s="32" t="s">
        <v>32</v>
      </c>
      <c r="D14" s="32" t="s">
        <v>32</v>
      </c>
      <c r="E14" s="32" t="s">
        <v>32</v>
      </c>
      <c r="F14" s="32" t="s">
        <v>32</v>
      </c>
      <c r="G14" s="32" t="s">
        <v>32</v>
      </c>
      <c r="H14" s="32" t="s">
        <v>32</v>
      </c>
      <c r="I14" s="32" t="s">
        <v>32</v>
      </c>
      <c r="J14" s="32" t="s">
        <v>32</v>
      </c>
      <c r="K14" s="31"/>
      <c r="L14" s="31"/>
      <c r="M14" s="31"/>
      <c r="N14" s="31"/>
    </row>
    <row r="16" spans="1:21" s="22" customFormat="1" x14ac:dyDescent="0.2">
      <c r="A16" s="30" t="s">
        <v>31</v>
      </c>
      <c r="B16" s="29">
        <v>33.352671999999998</v>
      </c>
      <c r="C16" s="29">
        <v>34.650036</v>
      </c>
      <c r="D16" s="29">
        <v>28.496151999999999</v>
      </c>
      <c r="E16" s="29">
        <f>117-H16-G16-F16</f>
        <v>32.777680000000004</v>
      </c>
      <c r="F16" s="29">
        <v>26.94332</v>
      </c>
      <c r="G16" s="29">
        <v>30.292000000000002</v>
      </c>
      <c r="H16" s="29">
        <v>26.987000000000002</v>
      </c>
      <c r="I16" s="29">
        <v>30.135000000000005</v>
      </c>
      <c r="J16" s="29">
        <v>27.344999999999999</v>
      </c>
      <c r="K16" s="29">
        <v>28.236000000000001</v>
      </c>
      <c r="L16" s="29">
        <v>25.283999999999999</v>
      </c>
      <c r="M16" s="29">
        <v>27.12</v>
      </c>
      <c r="N16" s="29">
        <v>24.859000000000002</v>
      </c>
      <c r="R16" s="70">
        <v>114</v>
      </c>
      <c r="S16" s="70">
        <v>57.279640999999998</v>
      </c>
      <c r="T16" s="70">
        <v>52.792676</v>
      </c>
      <c r="U16" s="70">
        <f>R16+S16-T16</f>
        <v>118.486965</v>
      </c>
    </row>
    <row r="17" spans="1:17" s="28" customFormat="1" x14ac:dyDescent="0.2">
      <c r="A17" s="28" t="s">
        <v>30</v>
      </c>
      <c r="B17" s="28">
        <f t="shared" ref="B17:N17" si="1">+B16/B12</f>
        <v>0.21836986084708132</v>
      </c>
      <c r="C17" s="28">
        <f t="shared" si="1"/>
        <v>0.22501006261487802</v>
      </c>
      <c r="D17" s="28">
        <f t="shared" si="1"/>
        <v>0.20919825336541012</v>
      </c>
      <c r="E17" s="28">
        <f t="shared" si="1"/>
        <v>0.24458849572472632</v>
      </c>
      <c r="F17" s="28">
        <f t="shared" si="1"/>
        <v>0.19932993149991332</v>
      </c>
      <c r="G17" s="28">
        <f t="shared" si="1"/>
        <v>0.21888864802370117</v>
      </c>
      <c r="H17" s="28">
        <f t="shared" si="1"/>
        <v>0.20722726888788215</v>
      </c>
      <c r="I17" s="28">
        <f t="shared" si="1"/>
        <v>0.2354609596587047</v>
      </c>
      <c r="J17" s="28">
        <f t="shared" si="1"/>
        <v>0.22330105015597185</v>
      </c>
      <c r="K17" s="28">
        <f t="shared" si="1"/>
        <v>0.22311953283656391</v>
      </c>
      <c r="L17" s="28">
        <f t="shared" si="1"/>
        <v>0.20894486314954383</v>
      </c>
      <c r="M17" s="28">
        <f t="shared" si="1"/>
        <v>0.23861686683383926</v>
      </c>
      <c r="N17" s="28">
        <f t="shared" si="1"/>
        <v>0.20456378268955416</v>
      </c>
    </row>
    <row r="18" spans="1:17" s="23" customFormat="1" x14ac:dyDescent="0.2"/>
    <row r="19" spans="1:17" s="23" customFormat="1" x14ac:dyDescent="0.2">
      <c r="A19" s="15" t="s">
        <v>29</v>
      </c>
      <c r="B19" s="19">
        <v>0</v>
      </c>
      <c r="C19" s="19">
        <v>0</v>
      </c>
      <c r="D19" s="19">
        <v>0</v>
      </c>
      <c r="E19" s="19">
        <v>0</v>
      </c>
      <c r="F19" s="19">
        <v>0</v>
      </c>
      <c r="G19" s="19">
        <v>0</v>
      </c>
      <c r="H19" s="19">
        <v>0</v>
      </c>
      <c r="I19" s="19">
        <v>0</v>
      </c>
      <c r="J19" s="19">
        <v>0</v>
      </c>
      <c r="K19" s="19">
        <v>0</v>
      </c>
      <c r="L19" s="19">
        <v>0</v>
      </c>
      <c r="M19" s="19">
        <v>0</v>
      </c>
      <c r="N19" s="19">
        <v>0</v>
      </c>
    </row>
    <row r="20" spans="1:17" s="23" customFormat="1" x14ac:dyDescent="0.2">
      <c r="A20" s="15" t="s">
        <v>28</v>
      </c>
      <c r="B20" s="19">
        <v>0</v>
      </c>
      <c r="C20" s="19">
        <v>0</v>
      </c>
      <c r="D20" s="19">
        <v>0</v>
      </c>
      <c r="E20" s="19">
        <v>0</v>
      </c>
      <c r="F20" s="19">
        <v>0</v>
      </c>
      <c r="G20" s="19">
        <v>0</v>
      </c>
      <c r="H20" s="19">
        <v>0</v>
      </c>
      <c r="I20" s="19">
        <v>0</v>
      </c>
      <c r="J20" s="19">
        <v>0</v>
      </c>
      <c r="K20" s="19">
        <v>0</v>
      </c>
      <c r="L20" s="19">
        <v>0</v>
      </c>
      <c r="M20" s="19">
        <v>0</v>
      </c>
      <c r="N20" s="19">
        <v>0</v>
      </c>
    </row>
    <row r="21" spans="1:17"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Q21" s="67"/>
    </row>
    <row r="22" spans="1:17" s="22" customFormat="1" x14ac:dyDescent="0.2">
      <c r="A22" s="22" t="s">
        <v>23</v>
      </c>
      <c r="B22" s="20">
        <f t="shared" ref="B22:N22" si="2">B16+B19+B20+B21</f>
        <v>33.352671999999998</v>
      </c>
      <c r="C22" s="20">
        <f t="shared" si="2"/>
        <v>34.650036</v>
      </c>
      <c r="D22" s="20">
        <f t="shared" si="2"/>
        <v>28.496151999999999</v>
      </c>
      <c r="E22" s="20">
        <f t="shared" si="2"/>
        <v>32.777680000000004</v>
      </c>
      <c r="F22" s="20">
        <f t="shared" si="2"/>
        <v>26.94332</v>
      </c>
      <c r="G22" s="20">
        <f t="shared" si="2"/>
        <v>30.292000000000002</v>
      </c>
      <c r="H22" s="20">
        <f t="shared" si="2"/>
        <v>26.987000000000002</v>
      </c>
      <c r="I22" s="20">
        <f t="shared" si="2"/>
        <v>30.135000000000005</v>
      </c>
      <c r="J22" s="20">
        <f t="shared" si="2"/>
        <v>27.344999999999999</v>
      </c>
      <c r="K22" s="20">
        <f t="shared" si="2"/>
        <v>28.236000000000001</v>
      </c>
      <c r="L22" s="20">
        <f t="shared" si="2"/>
        <v>25.283999999999999</v>
      </c>
      <c r="M22" s="20">
        <f t="shared" si="2"/>
        <v>27.12</v>
      </c>
      <c r="N22" s="20">
        <f t="shared" si="2"/>
        <v>24.859000000000002</v>
      </c>
      <c r="Q22" s="66"/>
    </row>
    <row r="23" spans="1:17" s="22" customFormat="1" x14ac:dyDescent="0.2">
      <c r="B23" s="20"/>
      <c r="C23" s="20"/>
      <c r="D23" s="20"/>
      <c r="E23" s="20"/>
      <c r="F23" s="20"/>
      <c r="G23" s="20"/>
      <c r="H23" s="20"/>
      <c r="I23" s="20"/>
      <c r="J23" s="20"/>
      <c r="K23" s="20"/>
      <c r="L23" s="20"/>
      <c r="M23" s="20"/>
      <c r="N23" s="20"/>
      <c r="Q23" s="66"/>
    </row>
    <row r="24" spans="1:17" s="22" customFormat="1" x14ac:dyDescent="0.2">
      <c r="A24" s="22" t="s">
        <v>27</v>
      </c>
      <c r="B24" s="20">
        <f t="shared" ref="B24:K24" si="3">B22+C22+D22+E22</f>
        <v>129.27654000000001</v>
      </c>
      <c r="C24" s="20">
        <f t="shared" si="3"/>
        <v>122.867188</v>
      </c>
      <c r="D24" s="20">
        <f t="shared" si="3"/>
        <v>118.509152</v>
      </c>
      <c r="E24" s="20">
        <f t="shared" si="3"/>
        <v>117</v>
      </c>
      <c r="F24" s="20">
        <f t="shared" si="3"/>
        <v>114.35732</v>
      </c>
      <c r="G24" s="20">
        <f t="shared" si="3"/>
        <v>114.75900000000001</v>
      </c>
      <c r="H24" s="20">
        <f t="shared" si="3"/>
        <v>112.70300000000002</v>
      </c>
      <c r="I24" s="20">
        <f t="shared" si="3"/>
        <v>111</v>
      </c>
      <c r="J24" s="20">
        <f t="shared" si="3"/>
        <v>107.98500000000001</v>
      </c>
      <c r="K24" s="20">
        <f t="shared" si="3"/>
        <v>105.499</v>
      </c>
      <c r="L24" s="20"/>
      <c r="M24" s="20"/>
      <c r="N24" s="20"/>
      <c r="Q24" s="66"/>
    </row>
    <row r="25" spans="1:17" s="23" customFormat="1" x14ac:dyDescent="0.2">
      <c r="A25" s="15" t="s">
        <v>26</v>
      </c>
      <c r="B25" s="27">
        <v>0</v>
      </c>
      <c r="C25" s="27">
        <f>D25</f>
        <v>3.4</v>
      </c>
      <c r="D25" s="27">
        <v>3.4</v>
      </c>
      <c r="E25" s="27">
        <v>0</v>
      </c>
      <c r="F25" s="27">
        <v>0</v>
      </c>
      <c r="G25" s="27">
        <v>0</v>
      </c>
      <c r="H25" s="27">
        <v>0</v>
      </c>
      <c r="I25" s="27">
        <v>0</v>
      </c>
      <c r="J25" s="27">
        <v>0</v>
      </c>
      <c r="K25" s="27">
        <v>0</v>
      </c>
      <c r="L25" s="27"/>
      <c r="M25" s="27"/>
      <c r="N25" s="27"/>
      <c r="Q25" s="67"/>
    </row>
    <row r="26" spans="1:17" s="23" customFormat="1" x14ac:dyDescent="0.2">
      <c r="A26" s="15" t="s">
        <v>25</v>
      </c>
      <c r="B26" s="21">
        <v>0</v>
      </c>
      <c r="C26" s="21">
        <v>0</v>
      </c>
      <c r="D26" s="21">
        <v>0</v>
      </c>
      <c r="E26" s="21">
        <v>0</v>
      </c>
      <c r="F26" s="21">
        <v>0</v>
      </c>
      <c r="G26" s="21">
        <v>0</v>
      </c>
      <c r="H26" s="21">
        <v>0</v>
      </c>
      <c r="I26" s="21">
        <v>0</v>
      </c>
      <c r="J26" s="21">
        <v>0</v>
      </c>
      <c r="K26" s="21">
        <v>0</v>
      </c>
      <c r="L26" s="26"/>
      <c r="M26" s="26"/>
      <c r="N26" s="26"/>
      <c r="Q26" s="67"/>
    </row>
    <row r="27" spans="1:17" s="24" customFormat="1" x14ac:dyDescent="0.2">
      <c r="A27" s="22" t="s">
        <v>24</v>
      </c>
      <c r="B27" s="20">
        <f t="shared" ref="B27:K27" si="4">B24+B25+B26</f>
        <v>129.27654000000001</v>
      </c>
      <c r="C27" s="20">
        <f t="shared" si="4"/>
        <v>126.267188</v>
      </c>
      <c r="D27" s="20">
        <f t="shared" si="4"/>
        <v>121.90915200000001</v>
      </c>
      <c r="E27" s="20">
        <f t="shared" si="4"/>
        <v>117</v>
      </c>
      <c r="F27" s="20">
        <f t="shared" si="4"/>
        <v>114.35732</v>
      </c>
      <c r="G27" s="20">
        <f t="shared" si="4"/>
        <v>114.75900000000001</v>
      </c>
      <c r="H27" s="20">
        <f t="shared" si="4"/>
        <v>112.70300000000002</v>
      </c>
      <c r="I27" s="20">
        <f t="shared" si="4"/>
        <v>111</v>
      </c>
      <c r="J27" s="20">
        <f t="shared" si="4"/>
        <v>107.98500000000001</v>
      </c>
      <c r="K27" s="20">
        <f t="shared" si="4"/>
        <v>105.499</v>
      </c>
      <c r="L27" s="25"/>
      <c r="M27" s="25"/>
      <c r="N27" s="25"/>
      <c r="Q27" s="68"/>
    </row>
    <row r="28" spans="1:17" s="23" customFormat="1" x14ac:dyDescent="0.2">
      <c r="Q28" s="67"/>
    </row>
    <row r="29" spans="1:17" s="22" customFormat="1" x14ac:dyDescent="0.2">
      <c r="A29" s="22" t="s">
        <v>23</v>
      </c>
      <c r="B29" s="20">
        <f t="shared" ref="B29:G29" si="5">B22</f>
        <v>33.352671999999998</v>
      </c>
      <c r="C29" s="20">
        <f t="shared" si="5"/>
        <v>34.650036</v>
      </c>
      <c r="D29" s="20">
        <f t="shared" si="5"/>
        <v>28.496151999999999</v>
      </c>
      <c r="E29" s="20">
        <f t="shared" si="5"/>
        <v>32.777680000000004</v>
      </c>
      <c r="F29" s="20">
        <f t="shared" si="5"/>
        <v>26.94332</v>
      </c>
      <c r="G29" s="20">
        <f t="shared" si="5"/>
        <v>30.292000000000002</v>
      </c>
      <c r="H29" s="20"/>
      <c r="I29" s="20"/>
      <c r="J29" s="20"/>
      <c r="K29" s="20"/>
      <c r="L29" s="20"/>
      <c r="M29" s="20"/>
      <c r="N29" s="20"/>
    </row>
    <row r="30" spans="1:17" s="11" customFormat="1" x14ac:dyDescent="0.2">
      <c r="A30" s="19" t="s">
        <v>22</v>
      </c>
      <c r="B30" s="19">
        <v>-9.9991450000000004</v>
      </c>
      <c r="C30" s="19">
        <v>-10.51534</v>
      </c>
      <c r="D30" s="19">
        <v>-9.6447540000000007</v>
      </c>
      <c r="E30" s="19"/>
      <c r="F30" s="19">
        <v>-10.300420000000001</v>
      </c>
      <c r="G30" s="19">
        <v>-9.9664289999999998</v>
      </c>
      <c r="H30" s="19"/>
      <c r="I30" s="19"/>
      <c r="J30" s="19"/>
      <c r="K30" s="19"/>
      <c r="L30" s="19"/>
      <c r="M30" s="19"/>
      <c r="N30" s="19"/>
    </row>
    <row r="31" spans="1:17" s="11" customFormat="1" x14ac:dyDescent="0.2">
      <c r="A31" s="19" t="s">
        <v>21</v>
      </c>
      <c r="B31" s="19">
        <v>0</v>
      </c>
      <c r="C31" s="19">
        <v>0</v>
      </c>
      <c r="D31" s="19">
        <v>0</v>
      </c>
      <c r="E31" s="19"/>
      <c r="F31" s="19">
        <v>0</v>
      </c>
      <c r="G31" s="19">
        <v>0</v>
      </c>
      <c r="H31" s="19"/>
      <c r="I31" s="19"/>
      <c r="J31" s="19"/>
      <c r="K31" s="19"/>
      <c r="L31" s="19"/>
      <c r="M31" s="19"/>
      <c r="N31" s="19"/>
    </row>
    <row r="32" spans="1:17" s="11" customFormat="1" x14ac:dyDescent="0.2">
      <c r="A32" s="19" t="s">
        <v>20</v>
      </c>
      <c r="B32" s="19">
        <f>-2.502986-1.155944+0.986364-0.22029-2.51256-1.388475+1.694126+0.102424+6.651335</f>
        <v>1.6539940000000009</v>
      </c>
      <c r="C32" s="19">
        <f>-8.340684-8.38267+1.446102-0.529161-0.044666+3.096264+2.138006+0.156851-0.006755-D32</f>
        <v>-3.0637700000000017</v>
      </c>
      <c r="D32" s="19">
        <f>SUM({-0.804443;-2.022525;-0.657073;-0.02139;-0.0547;-2.828264;-0.451186;-0.556607;"-";-0.006755})</f>
        <v>-7.4029429999999987</v>
      </c>
      <c r="E32" s="19"/>
      <c r="F32" s="19">
        <f>-0.266572-2.435931-7.386734-0.043109-6.951759+2.258713</f>
        <v>-14.825392000000001</v>
      </c>
      <c r="G32" s="19">
        <f>1.172836-2.040708+9.44181-0.031218+0.724431+0.193517</f>
        <v>9.4606679999999983</v>
      </c>
      <c r="H32" s="19"/>
      <c r="I32" s="19"/>
      <c r="J32" s="19"/>
      <c r="K32" s="19"/>
      <c r="L32" s="19"/>
      <c r="M32" s="19"/>
      <c r="N32" s="19"/>
    </row>
    <row r="33" spans="1:14" s="11" customFormat="1" x14ac:dyDescent="0.2">
      <c r="A33" s="19" t="s">
        <v>19</v>
      </c>
      <c r="B33" s="19"/>
      <c r="C33" s="19"/>
      <c r="D33" s="19"/>
      <c r="E33" s="19"/>
      <c r="F33" s="19"/>
      <c r="G33" s="19"/>
      <c r="H33" s="19"/>
      <c r="I33" s="19"/>
      <c r="J33" s="19"/>
      <c r="K33" s="19"/>
      <c r="L33" s="19"/>
      <c r="M33" s="19"/>
      <c r="N33" s="19"/>
    </row>
    <row r="34" spans="1:14" s="11" customFormat="1" x14ac:dyDescent="0.2">
      <c r="A34" s="19" t="s">
        <v>18</v>
      </c>
      <c r="B34" s="21"/>
      <c r="C34" s="21"/>
      <c r="D34" s="21"/>
      <c r="E34" s="21"/>
      <c r="F34" s="21"/>
      <c r="G34" s="21"/>
      <c r="H34" s="21"/>
      <c r="I34" s="21"/>
      <c r="J34" s="21"/>
      <c r="K34" s="21"/>
      <c r="L34" s="21"/>
      <c r="M34" s="21"/>
      <c r="N34" s="21"/>
    </row>
    <row r="35" spans="1:14" s="20" customFormat="1" x14ac:dyDescent="0.2">
      <c r="A35" s="20" t="s">
        <v>17</v>
      </c>
      <c r="B35" s="20">
        <v>3.362339</v>
      </c>
      <c r="C35" s="20">
        <f>27.563118-D35</f>
        <v>17.984473000000001</v>
      </c>
      <c r="D35" s="20">
        <v>9.5786449999999999</v>
      </c>
      <c r="F35" s="20">
        <v>-18.317903000000001</v>
      </c>
      <c r="G35" s="20">
        <v>18.128060999999999</v>
      </c>
    </row>
    <row r="36" spans="1:14" s="11" customFormat="1" x14ac:dyDescent="0.2">
      <c r="A36" s="19" t="s">
        <v>16</v>
      </c>
      <c r="B36" s="21">
        <v>-0.361371</v>
      </c>
      <c r="C36" s="21">
        <f>-13.093122-D36</f>
        <v>-7.9352819999999991</v>
      </c>
      <c r="D36" s="21">
        <v>-5.1578400000000002</v>
      </c>
      <c r="E36" s="21"/>
      <c r="F36" s="21">
        <v>-1.833766</v>
      </c>
      <c r="G36" s="21">
        <v>-0.75779399999999997</v>
      </c>
      <c r="H36" s="21"/>
      <c r="I36" s="21"/>
      <c r="J36" s="21"/>
      <c r="K36" s="21"/>
      <c r="L36" s="21"/>
      <c r="M36" s="21"/>
      <c r="N36" s="21"/>
    </row>
    <row r="37" spans="1:14" s="20" customFormat="1" x14ac:dyDescent="0.2">
      <c r="A37" s="20" t="s">
        <v>15</v>
      </c>
      <c r="B37" s="20">
        <f t="shared" ref="B37:G37" si="6">B35+B36</f>
        <v>3.0009679999999999</v>
      </c>
      <c r="C37" s="20">
        <f t="shared" si="6"/>
        <v>10.049191000000002</v>
      </c>
      <c r="D37" s="20">
        <f t="shared" si="6"/>
        <v>4.4208049999999997</v>
      </c>
      <c r="E37" s="20">
        <f t="shared" si="6"/>
        <v>0</v>
      </c>
      <c r="F37" s="20">
        <f t="shared" si="6"/>
        <v>-20.151669000000002</v>
      </c>
      <c r="G37" s="20">
        <f t="shared" si="6"/>
        <v>17.370266999999998</v>
      </c>
    </row>
    <row r="39" spans="1:14" s="16" customFormat="1" x14ac:dyDescent="0.2">
      <c r="A39" s="18" t="s">
        <v>14</v>
      </c>
      <c r="B39" s="19">
        <v>0</v>
      </c>
      <c r="C39" s="19">
        <f>D39</f>
        <v>3</v>
      </c>
      <c r="D39" s="19">
        <v>3</v>
      </c>
      <c r="E39" s="19">
        <v>0</v>
      </c>
      <c r="F39" s="19">
        <v>0</v>
      </c>
      <c r="G39" s="19">
        <v>0</v>
      </c>
      <c r="H39" s="19"/>
      <c r="I39" s="19"/>
      <c r="J39" s="19"/>
      <c r="K39" s="19"/>
      <c r="L39" s="19"/>
      <c r="M39" s="19"/>
      <c r="N39" s="19"/>
    </row>
    <row r="40" spans="1:14" s="16" customFormat="1" x14ac:dyDescent="0.2">
      <c r="A40" s="18" t="s">
        <v>13</v>
      </c>
      <c r="B40" s="19">
        <f>B41</f>
        <v>605.39222599999994</v>
      </c>
      <c r="C40" s="19">
        <f>D40</f>
        <v>606</v>
      </c>
      <c r="D40" s="19">
        <f>595+11</f>
        <v>606</v>
      </c>
      <c r="E40" s="19">
        <f>E41-150</f>
        <v>485.49775299999999</v>
      </c>
      <c r="F40" s="19">
        <f>F41-150</f>
        <v>503.52249400000005</v>
      </c>
      <c r="G40" s="19">
        <f>G41-150</f>
        <v>506.66646399999991</v>
      </c>
      <c r="H40" s="19"/>
      <c r="I40" s="19"/>
      <c r="J40" s="19"/>
      <c r="K40" s="19"/>
      <c r="L40" s="19"/>
      <c r="M40" s="19"/>
      <c r="N40" s="19"/>
    </row>
    <row r="41" spans="1:14" s="16" customFormat="1" x14ac:dyDescent="0.2">
      <c r="A41" s="18" t="s">
        <v>12</v>
      </c>
      <c r="B41" s="19">
        <f>598.69193+6.700296</f>
        <v>605.39222599999994</v>
      </c>
      <c r="C41" s="19">
        <f>D41</f>
        <v>609</v>
      </c>
      <c r="D41" s="19">
        <f>D39+D40+0</f>
        <v>609</v>
      </c>
      <c r="E41" s="19">
        <f>628.985054+1.612699+4.9</f>
        <v>635.49775299999999</v>
      </c>
      <c r="F41" s="19">
        <f>6.4577+647.064794</f>
        <v>653.52249400000005</v>
      </c>
      <c r="G41" s="19">
        <f>650.262446+6.404018</f>
        <v>656.66646399999991</v>
      </c>
      <c r="H41" s="19"/>
      <c r="I41" s="19"/>
      <c r="J41" s="19"/>
      <c r="K41" s="19"/>
      <c r="L41" s="19"/>
      <c r="M41" s="19"/>
      <c r="N41" s="19"/>
    </row>
    <row r="42" spans="1:14" s="16" customFormat="1" x14ac:dyDescent="0.2">
      <c r="A42" s="18" t="s">
        <v>11</v>
      </c>
      <c r="B42" s="17">
        <v>568</v>
      </c>
      <c r="C42" s="17">
        <f>D42</f>
        <v>568</v>
      </c>
      <c r="D42" s="17">
        <v>568</v>
      </c>
      <c r="E42" s="17">
        <v>568</v>
      </c>
      <c r="F42" s="17">
        <v>568</v>
      </c>
      <c r="G42" s="17">
        <v>568</v>
      </c>
      <c r="H42" s="17"/>
      <c r="I42" s="17"/>
      <c r="J42" s="17"/>
      <c r="K42" s="17"/>
      <c r="L42" s="17"/>
      <c r="M42" s="17"/>
      <c r="N42" s="17"/>
    </row>
    <row r="43" spans="1:14" x14ac:dyDescent="0.2">
      <c r="B43" s="16"/>
      <c r="C43" s="16"/>
      <c r="D43" s="16"/>
      <c r="E43" s="16"/>
      <c r="F43" s="16"/>
      <c r="G43" s="16"/>
      <c r="H43" s="16"/>
      <c r="I43" s="16"/>
    </row>
    <row r="44" spans="1:14" x14ac:dyDescent="0.2">
      <c r="A44" s="15" t="s">
        <v>10</v>
      </c>
      <c r="B44" s="27">
        <v>14.837593</v>
      </c>
      <c r="C44" s="27">
        <v>15.822309000000001</v>
      </c>
      <c r="D44" s="27">
        <v>0</v>
      </c>
      <c r="E44" s="27">
        <v>23.620573</v>
      </c>
      <c r="F44" s="27">
        <v>14.908122000000001</v>
      </c>
      <c r="G44" s="27">
        <v>9.7859549999999995</v>
      </c>
      <c r="H44" s="27">
        <v>6.5851949999999997</v>
      </c>
      <c r="I44" s="27">
        <v>23.946214999999999</v>
      </c>
      <c r="J44" s="27">
        <v>0</v>
      </c>
      <c r="K44" s="14"/>
      <c r="L44" s="14"/>
      <c r="M44" s="14"/>
      <c r="N44" s="14"/>
    </row>
    <row r="45" spans="1:14" x14ac:dyDescent="0.2">
      <c r="B45" s="64"/>
      <c r="C45" s="64"/>
      <c r="D45" s="64"/>
      <c r="E45" s="64"/>
      <c r="F45" s="64"/>
      <c r="G45" s="64"/>
    </row>
    <row r="46" spans="1:14" x14ac:dyDescent="0.2">
      <c r="A46" s="1" t="s">
        <v>9</v>
      </c>
      <c r="B46" s="11">
        <f>B12+C12+D12+E12</f>
        <v>576.95559900000001</v>
      </c>
      <c r="C46" s="11">
        <f>C12+D12+E12+F12</f>
        <v>559.39028600000006</v>
      </c>
      <c r="D46" s="12">
        <v>552.20000000000005</v>
      </c>
      <c r="E46" s="11">
        <f>E12+F12+G12+H12</f>
        <v>537.79999999999995</v>
      </c>
      <c r="F46" s="11">
        <f>F12+G12+H12+I12</f>
        <v>531.77146399999992</v>
      </c>
      <c r="G46" s="11">
        <f>G12+H12+I12+J12</f>
        <v>519.05999999999995</v>
      </c>
      <c r="H46" s="11"/>
      <c r="I46" s="11"/>
      <c r="J46" s="11"/>
      <c r="K46" s="11"/>
    </row>
    <row r="47" spans="1:14" x14ac:dyDescent="0.2">
      <c r="A47" s="1" t="s">
        <v>8</v>
      </c>
      <c r="B47" s="11">
        <f>B27</f>
        <v>129.27654000000001</v>
      </c>
      <c r="C47" s="11">
        <f>C27</f>
        <v>126.267188</v>
      </c>
      <c r="D47" s="12">
        <v>124.3</v>
      </c>
      <c r="E47" s="11">
        <f>E27</f>
        <v>117</v>
      </c>
      <c r="F47" s="11">
        <f>F27</f>
        <v>114.35732</v>
      </c>
      <c r="G47" s="11">
        <f>G27</f>
        <v>114.75900000000001</v>
      </c>
      <c r="H47" s="11"/>
      <c r="I47" s="11"/>
      <c r="J47" s="11"/>
      <c r="K47" s="11"/>
    </row>
    <row r="48" spans="1:14" x14ac:dyDescent="0.2">
      <c r="A48" s="1" t="s">
        <v>7</v>
      </c>
      <c r="B48" s="13">
        <f>C48+B37-F37</f>
        <v>31.31749000000001</v>
      </c>
      <c r="C48" s="13">
        <f>D48+C37-G37</f>
        <v>8.1648530000000079</v>
      </c>
      <c r="D48" s="13">
        <f>E48</f>
        <v>15.485929000000002</v>
      </c>
      <c r="E48" s="12">
        <f>29.014818-13.528889</f>
        <v>15.485929000000002</v>
      </c>
      <c r="F48" s="12">
        <v>48</v>
      </c>
      <c r="G48" s="12">
        <v>48</v>
      </c>
      <c r="H48" s="11"/>
      <c r="I48" s="11"/>
      <c r="J48" s="11"/>
      <c r="K48" s="11"/>
    </row>
    <row r="50" spans="1:14" s="10" customFormat="1" x14ac:dyDescent="0.2">
      <c r="A50" s="10" t="s">
        <v>6</v>
      </c>
      <c r="B50" s="10">
        <f t="shared" ref="B50:G50" si="7">+SUM(B39:B40)/B47</f>
        <v>4.682924109819151</v>
      </c>
      <c r="C50" s="10">
        <f t="shared" si="7"/>
        <v>4.8231057462054192</v>
      </c>
      <c r="D50" s="10">
        <f t="shared" si="7"/>
        <v>4.8994368463395013</v>
      </c>
      <c r="E50" s="10">
        <f t="shared" si="7"/>
        <v>4.149553444444444</v>
      </c>
      <c r="F50" s="10">
        <f t="shared" si="7"/>
        <v>4.4030630833251427</v>
      </c>
      <c r="G50" s="10">
        <f t="shared" si="7"/>
        <v>4.4150477435320967</v>
      </c>
    </row>
    <row r="51" spans="1:14" s="10" customFormat="1" x14ac:dyDescent="0.2">
      <c r="A51" s="10" t="s">
        <v>5</v>
      </c>
      <c r="B51" s="10">
        <f t="shared" ref="B51:G51" si="8">+B41/B47</f>
        <v>4.682924109819151</v>
      </c>
      <c r="C51" s="10">
        <f t="shared" si="8"/>
        <v>4.8231057462054192</v>
      </c>
      <c r="D51" s="10">
        <f t="shared" si="8"/>
        <v>4.8994368463395013</v>
      </c>
      <c r="E51" s="10">
        <f t="shared" si="8"/>
        <v>5.4316047264957268</v>
      </c>
      <c r="F51" s="10">
        <f t="shared" si="8"/>
        <v>5.7147412513689551</v>
      </c>
      <c r="G51" s="10">
        <f t="shared" si="8"/>
        <v>5.7221347693862779</v>
      </c>
    </row>
    <row r="52" spans="1:14" s="10" customFormat="1" x14ac:dyDescent="0.2">
      <c r="A52" s="10" t="s">
        <v>4</v>
      </c>
      <c r="B52" s="10">
        <f t="shared" ref="B52:G52" si="9">+(B41-B44)/B47</f>
        <v>4.5681500525926815</v>
      </c>
      <c r="C52" s="10">
        <f t="shared" si="9"/>
        <v>4.697797586178921</v>
      </c>
      <c r="D52" s="10">
        <f t="shared" si="9"/>
        <v>4.8994368463395013</v>
      </c>
      <c r="E52" s="10">
        <f t="shared" si="9"/>
        <v>5.2297194871794872</v>
      </c>
      <c r="F52" s="10">
        <f t="shared" si="9"/>
        <v>5.5843768636760638</v>
      </c>
      <c r="G52" s="10">
        <f t="shared" si="9"/>
        <v>5.6368608039456589</v>
      </c>
    </row>
    <row r="53" spans="1:14" s="6" customFormat="1" x14ac:dyDescent="0.2">
      <c r="A53" s="6" t="s">
        <v>3</v>
      </c>
      <c r="B53" s="6">
        <f t="shared" ref="B53:G53" si="10">+B48/B41</f>
        <v>5.1730908748075025E-2</v>
      </c>
      <c r="C53" s="6">
        <f t="shared" si="10"/>
        <v>1.3406983579638765E-2</v>
      </c>
      <c r="D53" s="6">
        <f t="shared" si="10"/>
        <v>2.5428454844006573E-2</v>
      </c>
      <c r="E53" s="6">
        <f t="shared" si="10"/>
        <v>2.4368188442674167E-2</v>
      </c>
      <c r="F53" s="6">
        <f t="shared" si="10"/>
        <v>7.3448122200366062E-2</v>
      </c>
      <c r="G53" s="6">
        <f t="shared" si="10"/>
        <v>7.3096469260230112E-2</v>
      </c>
    </row>
    <row r="54" spans="1:14" s="6" customFormat="1" x14ac:dyDescent="0.2">
      <c r="A54" s="8" t="s">
        <v>2</v>
      </c>
      <c r="B54" s="9"/>
      <c r="C54" s="9"/>
      <c r="D54" s="9"/>
      <c r="E54" s="9"/>
      <c r="F54" s="9"/>
      <c r="G54" s="9"/>
      <c r="H54" s="9"/>
      <c r="I54" s="9"/>
      <c r="J54" s="9"/>
      <c r="K54" s="9"/>
      <c r="L54" s="8"/>
      <c r="M54" s="8"/>
      <c r="N54" s="8"/>
    </row>
    <row r="55" spans="1:14" s="6" customFormat="1" x14ac:dyDescent="0.2">
      <c r="A55" s="6" t="s">
        <v>1</v>
      </c>
      <c r="B55" s="7">
        <f t="shared" ref="B55:K55" si="11">IF(B42=0,IF(B54="","","*"&amp;TEXT(B54,"0.0x")),(B41+B42-B44)/B47)</f>
        <v>8.9618319998353915</v>
      </c>
      <c r="C55" s="7">
        <f t="shared" si="11"/>
        <v>9.1961950637563898</v>
      </c>
      <c r="D55" s="7">
        <f t="shared" si="11"/>
        <v>9.4690265486725664</v>
      </c>
      <c r="E55" s="7">
        <f t="shared" si="11"/>
        <v>10.084420341880344</v>
      </c>
      <c r="F55" s="7">
        <f t="shared" si="11"/>
        <v>10.551264860001966</v>
      </c>
      <c r="G55" s="7">
        <f t="shared" si="11"/>
        <v>10.586363675180158</v>
      </c>
      <c r="H55" s="7" t="str">
        <f t="shared" si="11"/>
        <v/>
      </c>
      <c r="I55" s="7" t="str">
        <f t="shared" si="11"/>
        <v/>
      </c>
      <c r="J55" s="7" t="str">
        <f t="shared" si="11"/>
        <v/>
      </c>
      <c r="K55" s="7" t="str">
        <f t="shared" si="11"/>
        <v/>
      </c>
      <c r="L55" s="7" t="str">
        <f>IF(L42=0,IF(L54="","",CONCATENATE("* ",L54,"x")),(L41+L42-L44)/L47)</f>
        <v/>
      </c>
      <c r="M55" s="7" t="str">
        <f>IF(M42=0,IF(M54="","",CONCATENATE("* ",M54,"x")),(M41+M42-M44)/M47)</f>
        <v/>
      </c>
      <c r="N55" s="7" t="str">
        <f>IF(N42=0,IF(N54="","",CONCATENATE("* ",N54,"x")),(N41+N42-N44)/N47)</f>
        <v/>
      </c>
    </row>
    <row r="56" spans="1:14" x14ac:dyDescent="0.2">
      <c r="K56" s="3"/>
    </row>
    <row r="57" spans="1:14" ht="80.25" customHeight="1" x14ac:dyDescent="0.2">
      <c r="A57" s="5" t="s">
        <v>0</v>
      </c>
      <c r="B57" s="4"/>
      <c r="C57" s="4"/>
      <c r="D57" s="4" t="s">
        <v>244</v>
      </c>
      <c r="E57" s="4"/>
      <c r="F57" s="4"/>
      <c r="G57" s="4" t="s">
        <v>190</v>
      </c>
      <c r="H57" s="4"/>
      <c r="I57" s="4"/>
      <c r="J57" s="4"/>
      <c r="K57" s="4"/>
      <c r="L57" s="4"/>
      <c r="M57" s="4"/>
      <c r="N57" s="4"/>
    </row>
    <row r="58" spans="1:14" x14ac:dyDescent="0.2">
      <c r="A58" s="2"/>
      <c r="B58" s="3"/>
      <c r="C58" s="3"/>
      <c r="D58" s="3"/>
      <c r="E58" s="3"/>
      <c r="F58" s="3"/>
      <c r="G58" s="3"/>
    </row>
    <row r="59" spans="1:14" x14ac:dyDescent="0.2">
      <c r="A59" s="2"/>
    </row>
  </sheetData>
  <pageMargins left="0.7" right="0.7" top="0.75" bottom="0.75" header="0.3" footer="0.3"/>
  <pageSetup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U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9" width="10.7109375" style="1" customWidth="1"/>
    <col min="20" max="16384" width="9.140625" style="1"/>
  </cols>
  <sheetData>
    <row r="2" spans="1:19" x14ac:dyDescent="0.2">
      <c r="A2" s="34" t="s">
        <v>45</v>
      </c>
      <c r="B2" s="1" t="s">
        <v>102</v>
      </c>
    </row>
    <row r="3" spans="1:19" s="35" customFormat="1" x14ac:dyDescent="0.2">
      <c r="A3" s="36" t="s">
        <v>43</v>
      </c>
      <c r="B3" s="35" t="s">
        <v>135</v>
      </c>
    </row>
    <row r="4" spans="1:19" x14ac:dyDescent="0.2">
      <c r="A4" s="34" t="s">
        <v>41</v>
      </c>
      <c r="B4" s="1" t="s">
        <v>40</v>
      </c>
    </row>
    <row r="5" spans="1:19" x14ac:dyDescent="0.2">
      <c r="A5" s="34" t="s">
        <v>39</v>
      </c>
    </row>
    <row r="6" spans="1:19" x14ac:dyDescent="0.2">
      <c r="A6" s="34" t="s">
        <v>38</v>
      </c>
    </row>
    <row r="7" spans="1:19" x14ac:dyDescent="0.2">
      <c r="A7" s="34" t="s">
        <v>37</v>
      </c>
      <c r="B7" s="1" t="s">
        <v>379</v>
      </c>
    </row>
    <row r="8" spans="1:19" x14ac:dyDescent="0.2">
      <c r="A8" s="34" t="s">
        <v>281</v>
      </c>
      <c r="B8" s="1" t="s">
        <v>293</v>
      </c>
    </row>
    <row r="9" spans="1:19" x14ac:dyDescent="0.2">
      <c r="A9" s="22"/>
    </row>
    <row r="10" spans="1:19"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f t="shared" ref="O10:S10" si="0">EOMONTH(N10,-3)</f>
        <v>43190</v>
      </c>
      <c r="P10" s="33">
        <f t="shared" si="0"/>
        <v>43100</v>
      </c>
      <c r="Q10" s="33">
        <f t="shared" si="0"/>
        <v>43008</v>
      </c>
      <c r="R10" s="33">
        <f t="shared" si="0"/>
        <v>42916</v>
      </c>
      <c r="S10" s="33">
        <f t="shared" si="0"/>
        <v>42825</v>
      </c>
    </row>
    <row r="12" spans="1:19" x14ac:dyDescent="0.2">
      <c r="A12" s="15" t="s">
        <v>35</v>
      </c>
      <c r="B12" s="19">
        <v>168.94900000000001</v>
      </c>
      <c r="C12" s="19">
        <v>152.63499999999999</v>
      </c>
      <c r="D12" s="19">
        <v>152.63499999999999</v>
      </c>
      <c r="E12" s="19">
        <v>111.611</v>
      </c>
      <c r="F12" s="19">
        <v>53.890999999999998</v>
      </c>
      <c r="G12" s="19">
        <v>127.7</v>
      </c>
      <c r="H12" s="19">
        <v>136.828</v>
      </c>
      <c r="I12" s="19">
        <v>127.687</v>
      </c>
      <c r="J12" s="19">
        <v>121.286</v>
      </c>
      <c r="K12" s="19">
        <v>100.361</v>
      </c>
      <c r="L12" s="19">
        <v>93.8</v>
      </c>
      <c r="M12" s="19">
        <v>81.183999999999997</v>
      </c>
      <c r="N12" s="19">
        <v>80.627938569999998</v>
      </c>
      <c r="O12" s="19">
        <v>73.127202920000016</v>
      </c>
      <c r="P12" s="19">
        <v>70.599999999999994</v>
      </c>
      <c r="Q12" s="19">
        <v>67.5</v>
      </c>
      <c r="R12" s="19">
        <v>69.599999999999994</v>
      </c>
      <c r="S12" s="19">
        <v>60.9</v>
      </c>
    </row>
    <row r="13" spans="1:19" s="28" customFormat="1" x14ac:dyDescent="0.2">
      <c r="A13" s="28" t="s">
        <v>34</v>
      </c>
      <c r="B13" s="28">
        <f t="shared" ref="B13:O13" si="1">+B12/F12-1</f>
        <v>2.135013267521479</v>
      </c>
      <c r="C13" s="28">
        <f t="shared" si="1"/>
        <v>0.19526233359436174</v>
      </c>
      <c r="D13" s="28">
        <f t="shared" si="1"/>
        <v>0.11552460022802347</v>
      </c>
      <c r="E13" s="28">
        <f t="shared" si="1"/>
        <v>-0.12590161880222728</v>
      </c>
      <c r="F13" s="28">
        <f t="shared" si="1"/>
        <v>-0.55567006909288796</v>
      </c>
      <c r="G13" s="28">
        <f t="shared" si="1"/>
        <v>0.27240661213021</v>
      </c>
      <c r="H13" s="28">
        <f t="shared" si="1"/>
        <v>0.45872068230277185</v>
      </c>
      <c r="I13" s="28">
        <f t="shared" si="1"/>
        <v>0.57280991328340569</v>
      </c>
      <c r="J13" s="28">
        <f t="shared" si="1"/>
        <v>0.50426765400558105</v>
      </c>
      <c r="K13" s="28">
        <f t="shared" si="1"/>
        <v>0.3724167750514582</v>
      </c>
      <c r="L13" s="28">
        <f t="shared" si="1"/>
        <v>0.32861189801699719</v>
      </c>
      <c r="M13" s="28">
        <f t="shared" si="1"/>
        <v>0.20272592592592598</v>
      </c>
      <c r="N13" s="28">
        <f t="shared" si="1"/>
        <v>0.15844739324712642</v>
      </c>
      <c r="O13" s="28">
        <f t="shared" si="1"/>
        <v>0.20077508899835816</v>
      </c>
    </row>
    <row r="14" spans="1:19" s="23" customFormat="1" x14ac:dyDescent="0.2">
      <c r="A14" s="31" t="s">
        <v>33</v>
      </c>
      <c r="B14" s="111" t="s">
        <v>32</v>
      </c>
      <c r="C14" s="111" t="s">
        <v>32</v>
      </c>
      <c r="D14" s="111" t="s">
        <v>32</v>
      </c>
      <c r="E14" s="111" t="s">
        <v>32</v>
      </c>
      <c r="F14" s="111" t="s">
        <v>32</v>
      </c>
      <c r="G14" s="111" t="s">
        <v>32</v>
      </c>
      <c r="H14" s="111" t="s">
        <v>32</v>
      </c>
      <c r="I14" s="111" t="s">
        <v>32</v>
      </c>
      <c r="J14" s="111">
        <v>4.8000000000000001E-2</v>
      </c>
      <c r="K14" s="111">
        <v>7.0999999999999994E-2</v>
      </c>
      <c r="L14" s="111">
        <v>5.0999999999999997E-2</v>
      </c>
      <c r="M14" s="111">
        <v>3.7999999999999999E-2</v>
      </c>
      <c r="N14" s="111">
        <v>3.9E-2</v>
      </c>
      <c r="O14" s="111">
        <v>8.4000000000000005E-2</v>
      </c>
      <c r="P14" s="32"/>
      <c r="Q14" s="32"/>
      <c r="R14" s="31"/>
      <c r="S14" s="31"/>
    </row>
    <row r="16" spans="1:19" s="22" customFormat="1" x14ac:dyDescent="0.2">
      <c r="A16" s="30" t="s">
        <v>31</v>
      </c>
      <c r="B16" s="29">
        <v>54.74</v>
      </c>
      <c r="C16" s="29">
        <v>47.774999999999999</v>
      </c>
      <c r="D16" s="29">
        <v>45.885000000000041</v>
      </c>
      <c r="E16" s="29">
        <v>26.561</v>
      </c>
      <c r="F16" s="29">
        <v>2.754</v>
      </c>
      <c r="G16" s="29">
        <v>22.3</v>
      </c>
      <c r="H16" s="29">
        <v>26.1</v>
      </c>
      <c r="I16" s="29">
        <v>23.532399283333401</v>
      </c>
      <c r="J16" s="29">
        <v>23.321000000000002</v>
      </c>
      <c r="K16" s="29">
        <v>18.443000000000001</v>
      </c>
      <c r="L16" s="29">
        <v>16.899999999999999</v>
      </c>
      <c r="M16" s="29">
        <v>14.663127749999999</v>
      </c>
      <c r="N16" s="29">
        <v>15.05908118</v>
      </c>
      <c r="O16" s="29">
        <v>12.36370558</v>
      </c>
      <c r="P16" s="29">
        <v>13</v>
      </c>
      <c r="Q16" s="29">
        <v>12.6</v>
      </c>
      <c r="R16" s="29">
        <v>12.6</v>
      </c>
      <c r="S16" s="29">
        <v>9.6999999999999993</v>
      </c>
    </row>
    <row r="17" spans="1:19" s="28" customFormat="1" x14ac:dyDescent="0.2">
      <c r="A17" s="28" t="s">
        <v>30</v>
      </c>
      <c r="B17" s="28">
        <f t="shared" ref="B17:C17" si="2">+B16/B12</f>
        <v>0.32400310152767992</v>
      </c>
      <c r="C17" s="28">
        <f t="shared" si="2"/>
        <v>0.3130016051364366</v>
      </c>
      <c r="D17" s="28">
        <f t="shared" ref="D17:E17" si="3">+D16/D12</f>
        <v>0.30061912405411634</v>
      </c>
      <c r="E17" s="28">
        <f t="shared" si="3"/>
        <v>0.23797833546872618</v>
      </c>
      <c r="F17" s="28">
        <f t="shared" ref="F17:G17" si="4">+F16/F12</f>
        <v>5.1103152659998888E-2</v>
      </c>
      <c r="G17" s="28">
        <f t="shared" si="4"/>
        <v>0.17462803445575567</v>
      </c>
      <c r="H17" s="28">
        <f t="shared" ref="H17" si="5">+H16/H12</f>
        <v>0.19075043119829274</v>
      </c>
      <c r="I17" s="28">
        <f t="shared" ref="I17:J17" si="6">+I16/I12</f>
        <v>0.18429753446579059</v>
      </c>
      <c r="J17" s="28">
        <f t="shared" si="6"/>
        <v>0.19228105469716208</v>
      </c>
      <c r="K17" s="28">
        <f t="shared" ref="K17:L17" si="7">+K16/K12</f>
        <v>0.18376660256474128</v>
      </c>
      <c r="L17" s="28">
        <f t="shared" si="7"/>
        <v>0.18017057569296374</v>
      </c>
      <c r="M17" s="28">
        <f t="shared" ref="M17" si="8">+M16/M12</f>
        <v>0.18061598036558926</v>
      </c>
      <c r="N17" s="28">
        <f t="shared" ref="N17" si="9">+N16/N12</f>
        <v>0.18677249408932767</v>
      </c>
      <c r="O17" s="28">
        <f t="shared" ref="O17" si="10">+O16/O12</f>
        <v>0.16907122228544272</v>
      </c>
      <c r="P17" s="28">
        <f t="shared" ref="P17" si="11">+P16/P12</f>
        <v>0.18413597733711048</v>
      </c>
      <c r="Q17" s="28">
        <f t="shared" ref="Q17" si="12">+Q16/Q12</f>
        <v>0.18666666666666668</v>
      </c>
      <c r="R17" s="28">
        <f t="shared" ref="R17" si="13">+R16/R12</f>
        <v>0.18103448275862069</v>
      </c>
      <c r="S17" s="28">
        <f t="shared" ref="S17" si="14">+S16/S12</f>
        <v>0.15927750410509031</v>
      </c>
    </row>
    <row r="18" spans="1:19" s="23" customFormat="1" x14ac:dyDescent="0.2"/>
    <row r="19" spans="1:19"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row>
    <row r="20" spans="1:19"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row>
    <row r="21" spans="1:19"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row>
    <row r="22" spans="1:19" s="22" customFormat="1" x14ac:dyDescent="0.2">
      <c r="A22" s="22" t="s">
        <v>23</v>
      </c>
      <c r="B22" s="20">
        <f t="shared" ref="B22:C22" si="15">B16+B19+B20+B21</f>
        <v>54.74</v>
      </c>
      <c r="C22" s="20">
        <f t="shared" si="15"/>
        <v>47.774999999999999</v>
      </c>
      <c r="D22" s="20">
        <f t="shared" ref="D22:E22" si="16">D16+D19+D20+D21</f>
        <v>45.885000000000041</v>
      </c>
      <c r="E22" s="20">
        <f t="shared" si="16"/>
        <v>26.561</v>
      </c>
      <c r="F22" s="20">
        <f t="shared" ref="F22:G22" si="17">F16+F19+F20+F21</f>
        <v>2.754</v>
      </c>
      <c r="G22" s="20">
        <f t="shared" si="17"/>
        <v>22.3</v>
      </c>
      <c r="H22" s="20">
        <f t="shared" ref="H22:I22" si="18">H16+H19+H20+H21</f>
        <v>26.1</v>
      </c>
      <c r="I22" s="20">
        <f t="shared" si="18"/>
        <v>23.532399283333401</v>
      </c>
      <c r="J22" s="20">
        <f t="shared" ref="J22:K22" si="19">J16+J19+J20+J21</f>
        <v>23.321000000000002</v>
      </c>
      <c r="K22" s="20">
        <f t="shared" si="19"/>
        <v>18.443000000000001</v>
      </c>
      <c r="L22" s="20">
        <f t="shared" ref="L22:S22" si="20">L16+L19+L20+L21</f>
        <v>16.899999999999999</v>
      </c>
      <c r="M22" s="20">
        <f t="shared" si="20"/>
        <v>14.663127749999999</v>
      </c>
      <c r="N22" s="20">
        <f t="shared" si="20"/>
        <v>15.05908118</v>
      </c>
      <c r="O22" s="20">
        <f t="shared" si="20"/>
        <v>12.36370558</v>
      </c>
      <c r="P22" s="20">
        <f t="shared" si="20"/>
        <v>13</v>
      </c>
      <c r="Q22" s="20">
        <f t="shared" si="20"/>
        <v>12.6</v>
      </c>
      <c r="R22" s="20">
        <f t="shared" si="20"/>
        <v>12.6</v>
      </c>
      <c r="S22" s="20">
        <f t="shared" si="20"/>
        <v>9.6999999999999993</v>
      </c>
    </row>
    <row r="23" spans="1:19" s="22" customFormat="1" x14ac:dyDescent="0.2">
      <c r="B23" s="20"/>
      <c r="C23" s="20"/>
      <c r="D23" s="20"/>
      <c r="E23" s="20"/>
      <c r="F23" s="20"/>
      <c r="G23" s="20"/>
      <c r="H23" s="20"/>
      <c r="I23" s="20"/>
      <c r="J23" s="20"/>
      <c r="K23" s="20"/>
      <c r="L23" s="20"/>
      <c r="M23" s="20"/>
      <c r="N23" s="20"/>
      <c r="O23" s="20"/>
      <c r="P23" s="20"/>
      <c r="Q23" s="20"/>
      <c r="R23" s="20"/>
      <c r="S23" s="20"/>
    </row>
    <row r="24" spans="1:19" s="22" customFormat="1" x14ac:dyDescent="0.2">
      <c r="A24" s="22" t="s">
        <v>27</v>
      </c>
      <c r="B24" s="20">
        <f t="shared" ref="B24:P24" si="21">SUM(B22:E22)</f>
        <v>174.96100000000004</v>
      </c>
      <c r="C24" s="20">
        <f t="shared" si="21"/>
        <v>122.97500000000004</v>
      </c>
      <c r="D24" s="20">
        <f t="shared" si="21"/>
        <v>97.500000000000043</v>
      </c>
      <c r="E24" s="20">
        <f t="shared" si="21"/>
        <v>77.715000000000003</v>
      </c>
      <c r="F24" s="20">
        <f t="shared" si="21"/>
        <v>74.686399283333401</v>
      </c>
      <c r="G24" s="20">
        <f t="shared" si="21"/>
        <v>95.253399283333408</v>
      </c>
      <c r="H24" s="20">
        <f t="shared" si="21"/>
        <v>91.396399283333395</v>
      </c>
      <c r="I24" s="20">
        <f t="shared" si="21"/>
        <v>82.196399283333392</v>
      </c>
      <c r="J24" s="20">
        <f t="shared" si="21"/>
        <v>73.327127750000002</v>
      </c>
      <c r="K24" s="20">
        <f t="shared" si="21"/>
        <v>65.065208930000011</v>
      </c>
      <c r="L24" s="20">
        <f t="shared" si="21"/>
        <v>58.985914510000001</v>
      </c>
      <c r="M24" s="20">
        <f t="shared" si="21"/>
        <v>55.085914510000002</v>
      </c>
      <c r="N24" s="20">
        <f t="shared" si="21"/>
        <v>53.022786760000002</v>
      </c>
      <c r="O24" s="20">
        <f t="shared" si="21"/>
        <v>50.563705580000004</v>
      </c>
      <c r="P24" s="20">
        <f t="shared" si="21"/>
        <v>47.900000000000006</v>
      </c>
      <c r="Q24" s="20"/>
      <c r="R24" s="20"/>
      <c r="S24" s="20"/>
    </row>
    <row r="25" spans="1:19"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c r="R25" s="27"/>
      <c r="S25" s="27"/>
    </row>
    <row r="26" spans="1:19" s="23" customFormat="1" x14ac:dyDescent="0.2">
      <c r="A26" s="15" t="s">
        <v>25</v>
      </c>
      <c r="B26" s="21">
        <f>174.961-B25-B24</f>
        <v>0</v>
      </c>
      <c r="C26" s="21">
        <f>133.2-C25-C24</f>
        <v>10.224999999999952</v>
      </c>
      <c r="D26" s="21">
        <f>97.5-D25-D24</f>
        <v>0</v>
      </c>
      <c r="E26" s="21">
        <f>95.853543-E25-E24</f>
        <v>18.138542999999999</v>
      </c>
      <c r="F26" s="21">
        <f>76.402248-F25-F24</f>
        <v>1.7158487166665992</v>
      </c>
      <c r="G26" s="21">
        <f>99-G25-G24</f>
        <v>3.7466007166665918</v>
      </c>
      <c r="H26" s="21">
        <f>99.6-H25-H24</f>
        <v>8.2036007166665996</v>
      </c>
      <c r="I26" s="21">
        <f>95.227137-I25-I24</f>
        <v>13.030737716666607</v>
      </c>
      <c r="J26" s="21">
        <f>93.9-J25-J24</f>
        <v>20.572872250000003</v>
      </c>
      <c r="K26" s="21">
        <f>88.09-K25-K24</f>
        <v>23.024791069999992</v>
      </c>
      <c r="L26" s="21">
        <f>78.6-L25-L24</f>
        <v>19.614085489999994</v>
      </c>
      <c r="M26" s="21">
        <f>N26</f>
        <v>10.077213239999999</v>
      </c>
      <c r="N26" s="21">
        <f>63.1-N24-N25</f>
        <v>10.077213239999999</v>
      </c>
      <c r="O26" s="21">
        <f>P26</f>
        <v>7.5999999999999943</v>
      </c>
      <c r="P26" s="21">
        <f>55.5-P25-P24</f>
        <v>7.5999999999999943</v>
      </c>
      <c r="Q26" s="21"/>
      <c r="R26" s="21"/>
      <c r="S26" s="26"/>
    </row>
    <row r="27" spans="1:19" s="24" customFormat="1" x14ac:dyDescent="0.2">
      <c r="A27" s="22" t="s">
        <v>24</v>
      </c>
      <c r="B27" s="20">
        <f t="shared" ref="B27:C27" si="22">SUM(B24:B26)</f>
        <v>174.96100000000004</v>
      </c>
      <c r="C27" s="20">
        <f t="shared" si="22"/>
        <v>133.19999999999999</v>
      </c>
      <c r="D27" s="20">
        <f t="shared" ref="D27" si="23">SUM(D24:D26)</f>
        <v>97.500000000000043</v>
      </c>
      <c r="E27" s="20">
        <f t="shared" ref="E27:F27" si="24">SUM(E24:E26)</f>
        <v>95.853543000000002</v>
      </c>
      <c r="F27" s="20">
        <f t="shared" si="24"/>
        <v>76.402248</v>
      </c>
      <c r="G27" s="20">
        <f t="shared" ref="G27:P27" si="25">SUM(G24:G26)</f>
        <v>99</v>
      </c>
      <c r="H27" s="20">
        <f t="shared" si="25"/>
        <v>99.6</v>
      </c>
      <c r="I27" s="20">
        <f t="shared" si="25"/>
        <v>95.227136999999999</v>
      </c>
      <c r="J27" s="20">
        <f t="shared" si="25"/>
        <v>93.9</v>
      </c>
      <c r="K27" s="20">
        <f t="shared" si="25"/>
        <v>88.09</v>
      </c>
      <c r="L27" s="20">
        <f t="shared" si="25"/>
        <v>78.599999999999994</v>
      </c>
      <c r="M27" s="20">
        <f t="shared" si="25"/>
        <v>65.163127750000001</v>
      </c>
      <c r="N27" s="20">
        <f t="shared" si="25"/>
        <v>63.1</v>
      </c>
      <c r="O27" s="20">
        <f t="shared" si="25"/>
        <v>58.163705579999998</v>
      </c>
      <c r="P27" s="20">
        <f t="shared" si="25"/>
        <v>55.5</v>
      </c>
      <c r="Q27" s="20"/>
      <c r="R27" s="20"/>
      <c r="S27" s="25"/>
    </row>
    <row r="28" spans="1:19" s="23" customFormat="1" x14ac:dyDescent="0.2"/>
    <row r="29" spans="1:19" s="22" customFormat="1" x14ac:dyDescent="0.2">
      <c r="A29" s="22" t="s">
        <v>23</v>
      </c>
      <c r="B29" s="20">
        <f t="shared" ref="B29:C29" si="26">B22</f>
        <v>54.74</v>
      </c>
      <c r="C29" s="20">
        <f t="shared" si="26"/>
        <v>47.774999999999999</v>
      </c>
      <c r="D29" s="20">
        <f t="shared" ref="D29" si="27">D22</f>
        <v>45.885000000000041</v>
      </c>
      <c r="E29" s="20">
        <f t="shared" ref="E29:F29" si="28">E22</f>
        <v>26.561</v>
      </c>
      <c r="F29" s="20">
        <f t="shared" si="28"/>
        <v>2.754</v>
      </c>
      <c r="G29" s="20">
        <f t="shared" ref="G29:S29" si="29">G22</f>
        <v>22.3</v>
      </c>
      <c r="H29" s="20">
        <f t="shared" si="29"/>
        <v>26.1</v>
      </c>
      <c r="I29" s="20">
        <f t="shared" si="29"/>
        <v>23.532399283333401</v>
      </c>
      <c r="J29" s="20">
        <f t="shared" si="29"/>
        <v>23.321000000000002</v>
      </c>
      <c r="K29" s="20">
        <f t="shared" si="29"/>
        <v>18.443000000000001</v>
      </c>
      <c r="L29" s="20">
        <f t="shared" si="29"/>
        <v>16.899999999999999</v>
      </c>
      <c r="M29" s="20">
        <f t="shared" si="29"/>
        <v>14.663127749999999</v>
      </c>
      <c r="N29" s="20">
        <f t="shared" si="29"/>
        <v>15.05908118</v>
      </c>
      <c r="O29" s="20">
        <f t="shared" si="29"/>
        <v>12.36370558</v>
      </c>
      <c r="P29" s="20">
        <f t="shared" si="29"/>
        <v>13</v>
      </c>
      <c r="Q29" s="20">
        <f t="shared" si="29"/>
        <v>12.6</v>
      </c>
      <c r="R29" s="20">
        <f t="shared" si="29"/>
        <v>12.6</v>
      </c>
      <c r="S29" s="20">
        <f t="shared" si="29"/>
        <v>9.6999999999999993</v>
      </c>
    </row>
    <row r="30" spans="1:19" s="11" customFormat="1" x14ac:dyDescent="0.2">
      <c r="A30" s="19" t="s">
        <v>22</v>
      </c>
      <c r="B30" s="19">
        <v>-6.96</v>
      </c>
      <c r="C30" s="19">
        <v>-7.1210000000000004</v>
      </c>
      <c r="D30" s="19">
        <v>-7.0150000000000006</v>
      </c>
      <c r="E30" s="19">
        <v>-7.234</v>
      </c>
      <c r="F30" s="19">
        <v>-9.3659999999999997</v>
      </c>
      <c r="G30" s="19">
        <v>-9.8089999999999993</v>
      </c>
      <c r="H30" s="19">
        <v>-10.370999999999999</v>
      </c>
      <c r="I30" s="19">
        <v>-10.712</v>
      </c>
      <c r="J30" s="19">
        <v>-9.8710000000000004</v>
      </c>
      <c r="K30" s="19">
        <v>-9.0869999999999997</v>
      </c>
      <c r="L30" s="19">
        <v>-8.7260000000000009</v>
      </c>
      <c r="M30" s="19">
        <v>-8.0619999999999994</v>
      </c>
      <c r="N30" s="19">
        <v>-5.3912500000000003</v>
      </c>
      <c r="O30" s="19">
        <v>-5.3912500000000003</v>
      </c>
      <c r="P30" s="19">
        <v>-5.3912500000000003</v>
      </c>
      <c r="Q30" s="19">
        <v>-5.3912500000000003</v>
      </c>
      <c r="R30" s="19">
        <v>-5.3912500000000003</v>
      </c>
      <c r="S30" s="19">
        <v>-5.3912500000000003</v>
      </c>
    </row>
    <row r="31" spans="1:19" s="11" customFormat="1" x14ac:dyDescent="0.2">
      <c r="A31" s="19" t="s">
        <v>21</v>
      </c>
      <c r="B31" s="19">
        <v>-12.223000000000001</v>
      </c>
      <c r="C31" s="19">
        <v>-5.0179999999999998</v>
      </c>
      <c r="D31" s="19">
        <v>3.2729999999999997</v>
      </c>
      <c r="E31" s="19">
        <v>-0.307</v>
      </c>
      <c r="F31" s="19">
        <v>1.5</v>
      </c>
      <c r="G31" s="19">
        <v>-1.5529999999999999</v>
      </c>
      <c r="H31" s="19">
        <v>11.551</v>
      </c>
      <c r="I31" s="19">
        <v>-1.5</v>
      </c>
      <c r="J31" s="19">
        <v>-1.5</v>
      </c>
      <c r="K31" s="19">
        <v>-1.5</v>
      </c>
      <c r="L31" s="19">
        <v>8.8465521299999992</v>
      </c>
      <c r="M31" s="19">
        <v>-1.5</v>
      </c>
      <c r="N31" s="19">
        <v>-1.4340528199999998</v>
      </c>
      <c r="O31" s="19">
        <v>-0.19139505000000001</v>
      </c>
      <c r="P31" s="19">
        <v>-1.1076773100000001</v>
      </c>
      <c r="Q31" s="19">
        <v>-0.35198096999999995</v>
      </c>
      <c r="R31" s="19">
        <v>-2.4245461500000007</v>
      </c>
      <c r="S31" s="19">
        <v>-5.9220879999999997E-2</v>
      </c>
    </row>
    <row r="32" spans="1:19" s="11" customFormat="1" x14ac:dyDescent="0.2">
      <c r="A32" s="19" t="s">
        <v>20</v>
      </c>
      <c r="B32" s="19">
        <v>-12.2</v>
      </c>
      <c r="C32" s="19">
        <v>-11.438000000000001</v>
      </c>
      <c r="D32" s="19">
        <v>-12.840999999999998</v>
      </c>
      <c r="E32" s="19">
        <v>-13.581000000000001</v>
      </c>
      <c r="F32" s="19">
        <v>7.4200000000000008</v>
      </c>
      <c r="G32" s="19">
        <v>-10.678000000000001</v>
      </c>
      <c r="H32" s="19">
        <v>-2.6689999999999987</v>
      </c>
      <c r="I32" s="19">
        <v>-1.5859999999999999</v>
      </c>
      <c r="J32" s="19">
        <v>-2.9630000000000001</v>
      </c>
      <c r="K32" s="19">
        <v>-2.7769999999999997</v>
      </c>
      <c r="L32" s="19">
        <v>-1.1020000000000021</v>
      </c>
      <c r="M32" s="19">
        <v>-0.73</v>
      </c>
      <c r="N32" s="19">
        <v>-0.73</v>
      </c>
      <c r="O32" s="19">
        <v>-6.5110000000000001</v>
      </c>
      <c r="P32" s="19">
        <v>4.3745000000000003</v>
      </c>
      <c r="Q32" s="19">
        <v>0.48899999999999999</v>
      </c>
      <c r="R32" s="19">
        <v>-5.2039999999999997</v>
      </c>
      <c r="S32" s="19">
        <v>2.097</v>
      </c>
    </row>
    <row r="33" spans="1:21"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0.56100000000002304</v>
      </c>
      <c r="P33" s="19">
        <v>0</v>
      </c>
      <c r="Q33" s="19">
        <v>0</v>
      </c>
      <c r="R33" s="19">
        <v>0</v>
      </c>
      <c r="S33" s="19">
        <v>0</v>
      </c>
    </row>
    <row r="34" spans="1:21"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f>O35-O29-O30-O31-O32-O33</f>
        <v>-3.492060530000022</v>
      </c>
      <c r="P34" s="21">
        <v>0</v>
      </c>
      <c r="Q34" s="21">
        <v>0</v>
      </c>
      <c r="R34" s="21">
        <v>0</v>
      </c>
      <c r="S34" s="21">
        <v>0</v>
      </c>
    </row>
    <row r="35" spans="1:21" s="20" customFormat="1" x14ac:dyDescent="0.2">
      <c r="A35" s="20" t="s">
        <v>17</v>
      </c>
      <c r="B35" s="20">
        <v>22.119</v>
      </c>
      <c r="C35" s="20">
        <v>22.12</v>
      </c>
      <c r="D35" s="20">
        <v>19.064999999999998</v>
      </c>
      <c r="E35" s="20">
        <v>6.8520000000000003</v>
      </c>
      <c r="F35" s="20">
        <v>1.302</v>
      </c>
      <c r="G35" s="20">
        <v>-1.0660000000000001</v>
      </c>
      <c r="H35" s="20">
        <v>10.877000000000001</v>
      </c>
      <c r="I35" s="20">
        <v>6.343</v>
      </c>
      <c r="J35" s="20">
        <v>4.9989999999999997</v>
      </c>
      <c r="K35" s="20">
        <v>2.528</v>
      </c>
      <c r="L35" s="20">
        <v>-12.990000000000002</v>
      </c>
      <c r="M35" s="20">
        <v>-45</v>
      </c>
      <c r="N35" s="20">
        <v>5.4480000000000004</v>
      </c>
      <c r="O35" s="20">
        <v>-2.661</v>
      </c>
      <c r="P35" s="20">
        <v>9.2594999999999992</v>
      </c>
      <c r="Q35" s="20">
        <v>5.8140000000000001</v>
      </c>
      <c r="R35" s="20">
        <v>4.2000000000000003E-2</v>
      </c>
      <c r="S35" s="20">
        <v>4.84</v>
      </c>
    </row>
    <row r="36" spans="1:21" s="11" customFormat="1" x14ac:dyDescent="0.2">
      <c r="A36" s="19" t="s">
        <v>16</v>
      </c>
      <c r="B36" s="21">
        <v>-1.702</v>
      </c>
      <c r="C36" s="21">
        <v>-1.698</v>
      </c>
      <c r="D36" s="21">
        <v>-0.98800000000000043</v>
      </c>
      <c r="E36" s="21">
        <v>-1.0109999999999999</v>
      </c>
      <c r="F36" s="21">
        <v>-1.323</v>
      </c>
      <c r="G36" s="21">
        <v>-2.0590000000000002</v>
      </c>
      <c r="H36" s="21">
        <v>-2.3130000000000006</v>
      </c>
      <c r="I36" s="21">
        <v>-1.72</v>
      </c>
      <c r="J36" s="21">
        <v>-2.0699999999999998</v>
      </c>
      <c r="K36" s="21">
        <v>-1.722</v>
      </c>
      <c r="L36" s="21">
        <v>-1.9340000000000002</v>
      </c>
      <c r="M36" s="21">
        <v>-2.5</v>
      </c>
      <c r="N36" s="21">
        <v>-1.976</v>
      </c>
      <c r="O36" s="21">
        <v>-0.59199999999999997</v>
      </c>
      <c r="P36" s="21">
        <v>-0.99099999999999999</v>
      </c>
      <c r="Q36" s="21">
        <v>-0.64700000000000002</v>
      </c>
      <c r="R36" s="21">
        <v>-0.46</v>
      </c>
      <c r="S36" s="21">
        <v>-0.48299999999999998</v>
      </c>
    </row>
    <row r="37" spans="1:21" s="20" customFormat="1" x14ac:dyDescent="0.2">
      <c r="A37" s="20" t="s">
        <v>15</v>
      </c>
      <c r="B37" s="20">
        <f t="shared" ref="B37:L37" si="30">+B35+B36</f>
        <v>20.417000000000002</v>
      </c>
      <c r="C37" s="20">
        <f t="shared" si="30"/>
        <v>20.422000000000001</v>
      </c>
      <c r="D37" s="20">
        <f t="shared" si="30"/>
        <v>18.076999999999998</v>
      </c>
      <c r="E37" s="20">
        <f t="shared" si="30"/>
        <v>5.8410000000000002</v>
      </c>
      <c r="F37" s="20">
        <f t="shared" si="30"/>
        <v>-2.0999999999999908E-2</v>
      </c>
      <c r="G37" s="20">
        <f t="shared" si="30"/>
        <v>-3.125</v>
      </c>
      <c r="H37" s="20">
        <f t="shared" si="30"/>
        <v>8.5640000000000001</v>
      </c>
      <c r="I37" s="20">
        <f t="shared" si="30"/>
        <v>4.6230000000000002</v>
      </c>
      <c r="J37" s="20">
        <f t="shared" si="30"/>
        <v>2.9289999999999998</v>
      </c>
      <c r="K37" s="20">
        <f t="shared" si="30"/>
        <v>0.80600000000000005</v>
      </c>
      <c r="L37" s="20">
        <f t="shared" si="30"/>
        <v>-14.924000000000003</v>
      </c>
      <c r="M37" s="20">
        <f t="shared" ref="M37:S37" si="31">+M35+M36</f>
        <v>-47.5</v>
      </c>
      <c r="N37" s="20">
        <f t="shared" si="31"/>
        <v>3.4720000000000004</v>
      </c>
      <c r="O37" s="20">
        <f t="shared" si="31"/>
        <v>-3.2530000000000001</v>
      </c>
      <c r="P37" s="20">
        <f t="shared" si="31"/>
        <v>8.2684999999999995</v>
      </c>
      <c r="Q37" s="20">
        <f t="shared" si="31"/>
        <v>5.1669999999999998</v>
      </c>
      <c r="R37" s="20">
        <f t="shared" si="31"/>
        <v>-0.41800000000000004</v>
      </c>
      <c r="S37" s="20">
        <f t="shared" si="31"/>
        <v>4.3570000000000002</v>
      </c>
    </row>
    <row r="38" spans="1:21" x14ac:dyDescent="0.2">
      <c r="B38" s="11"/>
      <c r="C38" s="11"/>
      <c r="D38" s="11"/>
      <c r="E38" s="11"/>
      <c r="F38" s="11"/>
      <c r="G38" s="11"/>
      <c r="H38" s="11"/>
      <c r="I38" s="11"/>
    </row>
    <row r="39" spans="1:21" s="16" customFormat="1" x14ac:dyDescent="0.2">
      <c r="A39" s="18" t="s">
        <v>14</v>
      </c>
      <c r="B39" s="19">
        <v>39.479999999999997</v>
      </c>
      <c r="C39" s="19">
        <v>39.479999999999997</v>
      </c>
      <c r="D39" s="19">
        <v>2.48</v>
      </c>
      <c r="E39" s="19">
        <v>0</v>
      </c>
      <c r="F39" s="19">
        <v>17.411999999999999</v>
      </c>
      <c r="G39" s="19">
        <v>54.6</v>
      </c>
      <c r="H39" s="19">
        <v>0</v>
      </c>
      <c r="I39" s="19">
        <v>0</v>
      </c>
      <c r="J39" s="19">
        <v>0</v>
      </c>
      <c r="K39" s="19">
        <v>66.25</v>
      </c>
      <c r="L39" s="19">
        <v>0</v>
      </c>
      <c r="M39" s="19"/>
      <c r="N39" s="19">
        <v>0</v>
      </c>
      <c r="O39" s="19"/>
      <c r="P39" s="19"/>
      <c r="Q39" s="19"/>
      <c r="R39" s="19"/>
      <c r="S39" s="19"/>
    </row>
    <row r="40" spans="1:21" s="16" customFormat="1" x14ac:dyDescent="0.2">
      <c r="A40" s="18" t="s">
        <v>13</v>
      </c>
      <c r="B40" s="19">
        <v>462.65499999999997</v>
      </c>
      <c r="C40" s="19">
        <v>463.84299999999996</v>
      </c>
      <c r="D40" s="19">
        <v>465.03199999999998</v>
      </c>
      <c r="E40" s="19">
        <v>466.27339118456257</v>
      </c>
      <c r="F40" s="19">
        <v>467.44199617500004</v>
      </c>
      <c r="G40" s="19">
        <v>468.61353000000003</v>
      </c>
      <c r="H40" s="19">
        <v>469.78800000000001</v>
      </c>
      <c r="I40" s="19">
        <f>470.975065+2-0.141</f>
        <v>472.83406499999995</v>
      </c>
      <c r="J40" s="19">
        <f>422+50+2</f>
        <v>474</v>
      </c>
      <c r="K40" s="19">
        <f>412.583-K39</f>
        <v>346.33300000000003</v>
      </c>
      <c r="L40" s="19">
        <f>299+37+43+2</f>
        <v>381</v>
      </c>
      <c r="M40" s="19"/>
      <c r="N40" s="19">
        <f>300+2</f>
        <v>302</v>
      </c>
      <c r="O40" s="19"/>
      <c r="P40" s="19"/>
      <c r="Q40" s="19"/>
      <c r="R40" s="19"/>
      <c r="S40" s="19"/>
      <c r="T40" s="11"/>
      <c r="U40" s="11"/>
    </row>
    <row r="41" spans="1:21" s="16" customFormat="1" x14ac:dyDescent="0.2">
      <c r="A41" s="18" t="s">
        <v>12</v>
      </c>
      <c r="B41" s="19">
        <f t="shared" ref="B41:L41" si="32">B39+B40+105</f>
        <v>607.13499999999999</v>
      </c>
      <c r="C41" s="19">
        <f t="shared" si="32"/>
        <v>608.32299999999998</v>
      </c>
      <c r="D41" s="19">
        <f t="shared" si="32"/>
        <v>572.51199999999994</v>
      </c>
      <c r="E41" s="19">
        <f t="shared" si="32"/>
        <v>571.27339118456257</v>
      </c>
      <c r="F41" s="19">
        <f t="shared" si="32"/>
        <v>589.85399617500002</v>
      </c>
      <c r="G41" s="19">
        <f t="shared" si="32"/>
        <v>628.21352999999999</v>
      </c>
      <c r="H41" s="19">
        <f t="shared" si="32"/>
        <v>574.78800000000001</v>
      </c>
      <c r="I41" s="19">
        <f t="shared" si="32"/>
        <v>577.83406500000001</v>
      </c>
      <c r="J41" s="19">
        <f t="shared" si="32"/>
        <v>579</v>
      </c>
      <c r="K41" s="19">
        <f t="shared" si="32"/>
        <v>517.58300000000008</v>
      </c>
      <c r="L41" s="19">
        <f t="shared" si="32"/>
        <v>486</v>
      </c>
      <c r="M41" s="19"/>
      <c r="N41" s="19">
        <f>N39+N40+105</f>
        <v>407</v>
      </c>
      <c r="O41" s="19"/>
      <c r="P41" s="19"/>
      <c r="Q41" s="19"/>
      <c r="R41" s="19"/>
      <c r="S41" s="19"/>
    </row>
    <row r="42" spans="1:21" s="16" customFormat="1" x14ac:dyDescent="0.2">
      <c r="A42" s="18" t="s">
        <v>11</v>
      </c>
      <c r="B42" s="17">
        <v>466</v>
      </c>
      <c r="C42" s="17">
        <v>466</v>
      </c>
      <c r="D42" s="17">
        <v>466</v>
      </c>
      <c r="E42" s="17">
        <v>466</v>
      </c>
      <c r="F42" s="17">
        <v>466</v>
      </c>
      <c r="G42" s="17">
        <v>466</v>
      </c>
      <c r="H42" s="17">
        <v>466</v>
      </c>
      <c r="I42" s="17">
        <v>466</v>
      </c>
      <c r="J42" s="17">
        <v>466</v>
      </c>
      <c r="K42" s="17">
        <v>463</v>
      </c>
      <c r="L42" s="17">
        <v>463</v>
      </c>
      <c r="M42" s="17"/>
      <c r="N42" s="17">
        <v>463</v>
      </c>
      <c r="O42" s="17"/>
      <c r="P42" s="17"/>
      <c r="Q42" s="17"/>
      <c r="R42" s="17"/>
      <c r="S42" s="17"/>
    </row>
    <row r="43" spans="1:21" x14ac:dyDescent="0.2">
      <c r="B43" s="16"/>
      <c r="C43" s="16"/>
      <c r="D43" s="16"/>
      <c r="E43" s="16"/>
      <c r="F43" s="16"/>
      <c r="G43" s="16"/>
      <c r="H43" s="16"/>
      <c r="I43" s="16"/>
      <c r="J43" s="16"/>
      <c r="K43" s="16"/>
      <c r="L43" s="16"/>
      <c r="M43" s="16"/>
      <c r="N43" s="16"/>
      <c r="O43" s="16"/>
      <c r="P43" s="16"/>
    </row>
    <row r="44" spans="1:21" x14ac:dyDescent="0.2">
      <c r="A44" s="15" t="s">
        <v>10</v>
      </c>
      <c r="B44" s="27">
        <v>28.116</v>
      </c>
      <c r="C44" s="27">
        <v>31.818000000000001</v>
      </c>
      <c r="D44" s="27">
        <v>22.41</v>
      </c>
      <c r="E44" s="27">
        <v>16.202000000000002</v>
      </c>
      <c r="F44" s="27">
        <v>28.234000000000002</v>
      </c>
      <c r="G44" s="27">
        <v>66.162999999999997</v>
      </c>
      <c r="H44" s="27">
        <v>22.638999999999999</v>
      </c>
      <c r="I44" s="27">
        <v>23.907205000000001</v>
      </c>
      <c r="J44" s="27">
        <v>26</v>
      </c>
      <c r="K44" s="27">
        <v>12</v>
      </c>
      <c r="L44" s="27">
        <v>12</v>
      </c>
      <c r="M44" s="27"/>
      <c r="N44" s="27">
        <v>0</v>
      </c>
      <c r="O44" s="27"/>
      <c r="P44" s="27"/>
      <c r="Q44" s="27"/>
      <c r="R44" s="27"/>
      <c r="S44" s="27"/>
    </row>
    <row r="46" spans="1:21" x14ac:dyDescent="0.2">
      <c r="A46" s="1" t="s">
        <v>9</v>
      </c>
      <c r="B46" s="11">
        <f t="shared" ref="B46:P46" si="33">SUM(B12:E12)</f>
        <v>585.83000000000004</v>
      </c>
      <c r="C46" s="11">
        <f t="shared" si="33"/>
        <v>470.77199999999999</v>
      </c>
      <c r="D46" s="11">
        <f t="shared" si="33"/>
        <v>445.83699999999999</v>
      </c>
      <c r="E46" s="11">
        <f t="shared" si="33"/>
        <v>430.03</v>
      </c>
      <c r="F46" s="11">
        <f t="shared" si="33"/>
        <v>446.10599999999999</v>
      </c>
      <c r="G46" s="11">
        <f t="shared" si="33"/>
        <v>513.50099999999998</v>
      </c>
      <c r="H46" s="11">
        <f t="shared" si="33"/>
        <v>486.16199999999998</v>
      </c>
      <c r="I46" s="11">
        <f t="shared" si="33"/>
        <v>443.13400000000001</v>
      </c>
      <c r="J46" s="11">
        <f t="shared" si="33"/>
        <v>396.63099999999997</v>
      </c>
      <c r="K46" s="11">
        <f t="shared" si="33"/>
        <v>355.97293857</v>
      </c>
      <c r="L46" s="11">
        <f t="shared" si="33"/>
        <v>328.73914149000001</v>
      </c>
      <c r="M46" s="11">
        <f t="shared" si="33"/>
        <v>305.53914149000002</v>
      </c>
      <c r="N46" s="11">
        <f t="shared" si="33"/>
        <v>291.85514149000005</v>
      </c>
      <c r="O46" s="11">
        <f t="shared" si="33"/>
        <v>280.82720291999999</v>
      </c>
      <c r="P46" s="11">
        <f t="shared" si="33"/>
        <v>268.59999999999997</v>
      </c>
      <c r="Q46" s="11"/>
      <c r="R46" s="11"/>
    </row>
    <row r="47" spans="1:21" x14ac:dyDescent="0.2">
      <c r="A47" s="1" t="s">
        <v>8</v>
      </c>
      <c r="B47" s="11">
        <f t="shared" ref="B47:C47" si="34">+B27</f>
        <v>174.96100000000004</v>
      </c>
      <c r="C47" s="11">
        <f t="shared" si="34"/>
        <v>133.19999999999999</v>
      </c>
      <c r="D47" s="11">
        <f t="shared" ref="D47:E47" si="35">+D27</f>
        <v>97.500000000000043</v>
      </c>
      <c r="E47" s="11">
        <f t="shared" si="35"/>
        <v>95.853543000000002</v>
      </c>
      <c r="F47" s="11">
        <f t="shared" ref="F47:G47" si="36">+F27</f>
        <v>76.402248</v>
      </c>
      <c r="G47" s="11">
        <f t="shared" si="36"/>
        <v>99</v>
      </c>
      <c r="H47" s="11">
        <f t="shared" ref="H47" si="37">+H27</f>
        <v>99.6</v>
      </c>
      <c r="I47" s="11">
        <f t="shared" ref="I47" si="38">+I27</f>
        <v>95.227136999999999</v>
      </c>
      <c r="J47" s="11">
        <f t="shared" ref="J47:P47" si="39">+J27</f>
        <v>93.9</v>
      </c>
      <c r="K47" s="11">
        <f t="shared" si="39"/>
        <v>88.09</v>
      </c>
      <c r="L47" s="11">
        <f t="shared" si="39"/>
        <v>78.599999999999994</v>
      </c>
      <c r="M47" s="11">
        <f t="shared" si="39"/>
        <v>65.163127750000001</v>
      </c>
      <c r="N47" s="11">
        <f t="shared" si="39"/>
        <v>63.1</v>
      </c>
      <c r="O47" s="11">
        <f t="shared" si="39"/>
        <v>58.163705579999998</v>
      </c>
      <c r="P47" s="11">
        <f t="shared" si="39"/>
        <v>55.5</v>
      </c>
      <c r="Q47" s="11"/>
      <c r="R47" s="11"/>
    </row>
    <row r="48" spans="1:21" x14ac:dyDescent="0.2">
      <c r="A48" s="1" t="s">
        <v>7</v>
      </c>
      <c r="B48" s="11">
        <f t="shared" ref="B48:K48" si="40">C48+B37-F37</f>
        <v>64.756999999999991</v>
      </c>
      <c r="C48" s="11">
        <f t="shared" si="40"/>
        <v>44.318999999999988</v>
      </c>
      <c r="D48" s="11">
        <f t="shared" si="40"/>
        <v>20.771999999999988</v>
      </c>
      <c r="E48" s="11">
        <f t="shared" si="40"/>
        <v>11.25899999999999</v>
      </c>
      <c r="F48" s="11">
        <f t="shared" si="40"/>
        <v>10.040999999999991</v>
      </c>
      <c r="G48" s="11">
        <f t="shared" si="40"/>
        <v>12.990999999999993</v>
      </c>
      <c r="H48" s="11">
        <f t="shared" si="40"/>
        <v>16.921999999999993</v>
      </c>
      <c r="I48" s="11">
        <f t="shared" si="40"/>
        <v>-6.5660000000000096</v>
      </c>
      <c r="J48" s="11">
        <f t="shared" si="40"/>
        <v>-58.689000000000007</v>
      </c>
      <c r="K48" s="11">
        <f t="shared" si="40"/>
        <v>-58.146000000000008</v>
      </c>
      <c r="L48" s="12">
        <v>-62.205000000000005</v>
      </c>
      <c r="M48" s="11"/>
      <c r="N48" s="11">
        <f>+SUM(N37:Q37)</f>
        <v>13.654500000000001</v>
      </c>
      <c r="O48" s="11">
        <f>+SUM(O37:R37)</f>
        <v>9.7645</v>
      </c>
      <c r="P48" s="11">
        <f>+SUM(P37:S37)</f>
        <v>17.374500000000001</v>
      </c>
      <c r="Q48" s="11"/>
      <c r="R48" s="11"/>
    </row>
    <row r="50" spans="1:19" s="10" customFormat="1" x14ac:dyDescent="0.2">
      <c r="A50" s="10" t="s">
        <v>6</v>
      </c>
      <c r="B50" s="10">
        <f t="shared" ref="B50:C50" si="41">+SUM(B39:B40)/B47</f>
        <v>2.8699824532324341</v>
      </c>
      <c r="C50" s="10">
        <f t="shared" si="41"/>
        <v>3.7787012012012013</v>
      </c>
      <c r="D50" s="10">
        <f t="shared" ref="D50" si="42">+SUM(D39:D40)/D47</f>
        <v>4.7949948717948701</v>
      </c>
      <c r="E50" s="10">
        <f t="shared" ref="E50:F50" si="43">+SUM(E39:E40)/E47</f>
        <v>4.8644356441218095</v>
      </c>
      <c r="F50" s="10">
        <f t="shared" si="43"/>
        <v>6.3460697671487365</v>
      </c>
      <c r="G50" s="10">
        <f t="shared" ref="G50:L50" si="44">+SUM(G39:G40)/G47</f>
        <v>5.2849851515151514</v>
      </c>
      <c r="H50" s="10">
        <f t="shared" si="44"/>
        <v>4.716746987951808</v>
      </c>
      <c r="I50" s="10">
        <f t="shared" si="44"/>
        <v>4.9653290007028144</v>
      </c>
      <c r="J50" s="10">
        <f t="shared" si="44"/>
        <v>5.0479233226837055</v>
      </c>
      <c r="K50" s="10">
        <f t="shared" si="44"/>
        <v>4.6836530820751507</v>
      </c>
      <c r="L50" s="10">
        <f t="shared" si="44"/>
        <v>4.8473282442748094</v>
      </c>
      <c r="N50" s="10">
        <f>+SUM(N39:N40)/N47</f>
        <v>4.7860538827258319</v>
      </c>
    </row>
    <row r="51" spans="1:19" s="10" customFormat="1" x14ac:dyDescent="0.2">
      <c r="A51" s="10" t="s">
        <v>5</v>
      </c>
      <c r="B51" s="10">
        <f t="shared" ref="B51:C51" si="45">+B41/B47</f>
        <v>3.470116197323974</v>
      </c>
      <c r="C51" s="10">
        <f t="shared" si="45"/>
        <v>4.5669894894894894</v>
      </c>
      <c r="D51" s="10">
        <f t="shared" ref="D51" si="46">+D41/D47</f>
        <v>5.8719179487179458</v>
      </c>
      <c r="E51" s="10">
        <f t="shared" ref="E51:F51" si="47">+E41/E47</f>
        <v>5.9598568118088506</v>
      </c>
      <c r="F51" s="10">
        <f t="shared" si="47"/>
        <v>7.7203748792182134</v>
      </c>
      <c r="G51" s="10">
        <f t="shared" ref="G51:L51" si="48">+G41/G47</f>
        <v>6.3455912121212119</v>
      </c>
      <c r="H51" s="10">
        <f t="shared" si="48"/>
        <v>5.7709638554216873</v>
      </c>
      <c r="I51" s="10">
        <f t="shared" si="48"/>
        <v>6.0679558706044059</v>
      </c>
      <c r="J51" s="10">
        <f t="shared" si="48"/>
        <v>6.1661341853035143</v>
      </c>
      <c r="K51" s="10">
        <f t="shared" si="48"/>
        <v>5.875615847428767</v>
      </c>
      <c r="L51" s="10">
        <f t="shared" si="48"/>
        <v>6.1832061068702293</v>
      </c>
      <c r="N51" s="10">
        <f>+N41/N47</f>
        <v>6.4500792393026938</v>
      </c>
    </row>
    <row r="52" spans="1:19" s="10" customFormat="1" x14ac:dyDescent="0.2">
      <c r="A52" s="10" t="s">
        <v>4</v>
      </c>
      <c r="B52" s="10">
        <f t="shared" ref="B52:C52" si="49">+(B41-B44)/B47</f>
        <v>3.3094175273346624</v>
      </c>
      <c r="C52" s="10">
        <f t="shared" si="49"/>
        <v>4.3281156156156158</v>
      </c>
      <c r="D52" s="10">
        <f t="shared" ref="D52" si="50">+(D41-D44)/D47</f>
        <v>5.642071794871792</v>
      </c>
      <c r="E52" s="10">
        <f t="shared" ref="E52:F52" si="51">+(E41-E44)/E47</f>
        <v>5.7908281093434653</v>
      </c>
      <c r="F52" s="10">
        <f t="shared" si="51"/>
        <v>7.3508307788927887</v>
      </c>
      <c r="G52" s="10">
        <f t="shared" ref="G52:L52" si="52">+(G41-G44)/G47</f>
        <v>5.6772780808080805</v>
      </c>
      <c r="H52" s="10">
        <f t="shared" si="52"/>
        <v>5.5436646586345386</v>
      </c>
      <c r="I52" s="10">
        <f t="shared" si="52"/>
        <v>5.8169013313925424</v>
      </c>
      <c r="J52" s="10">
        <f t="shared" si="52"/>
        <v>5.8892438764643238</v>
      </c>
      <c r="K52" s="10">
        <f t="shared" si="52"/>
        <v>5.7393915313883532</v>
      </c>
      <c r="L52" s="10">
        <f t="shared" si="52"/>
        <v>6.0305343511450387</v>
      </c>
      <c r="N52" s="10">
        <f>+(N41-N44)/N47</f>
        <v>6.4500792393026938</v>
      </c>
    </row>
    <row r="53" spans="1:19" s="6" customFormat="1" x14ac:dyDescent="0.2">
      <c r="A53" s="6" t="s">
        <v>3</v>
      </c>
      <c r="B53" s="6">
        <f t="shared" ref="B53:C53" si="53">+B48/B41</f>
        <v>0.10665996854076934</v>
      </c>
      <c r="C53" s="6">
        <f t="shared" si="53"/>
        <v>7.2854388211525775E-2</v>
      </c>
      <c r="D53" s="6">
        <f t="shared" ref="D53" si="54">+D48/D41</f>
        <v>3.6282208931865165E-2</v>
      </c>
      <c r="E53" s="6">
        <f t="shared" ref="E53:F53" si="55">+E48/E41</f>
        <v>1.9708602174965506E-2</v>
      </c>
      <c r="F53" s="6">
        <f t="shared" si="55"/>
        <v>1.7022856613861086E-2</v>
      </c>
      <c r="G53" s="6">
        <f t="shared" ref="G53:L53" si="56">+G48/G41</f>
        <v>2.0679274449883295E-2</v>
      </c>
      <c r="H53" s="6">
        <f t="shared" si="56"/>
        <v>2.9440419772159464E-2</v>
      </c>
      <c r="I53" s="6">
        <f t="shared" si="56"/>
        <v>-1.1363123771527747E-2</v>
      </c>
      <c r="J53" s="6">
        <f t="shared" si="56"/>
        <v>-0.10136269430051814</v>
      </c>
      <c r="K53" s="6">
        <f t="shared" si="56"/>
        <v>-0.11234140224852825</v>
      </c>
      <c r="L53" s="6">
        <f t="shared" si="56"/>
        <v>-0.12799382716049384</v>
      </c>
      <c r="N53" s="6">
        <f>+N48/N41</f>
        <v>3.3549140049140051E-2</v>
      </c>
    </row>
    <row r="54" spans="1:19" s="6" customFormat="1" x14ac:dyDescent="0.2">
      <c r="A54" s="8" t="s">
        <v>2</v>
      </c>
      <c r="B54" s="9"/>
      <c r="C54" s="9"/>
      <c r="D54" s="9"/>
      <c r="E54" s="9"/>
      <c r="F54" s="9"/>
      <c r="G54" s="9"/>
      <c r="H54" s="9"/>
      <c r="I54" s="9"/>
      <c r="J54" s="9"/>
      <c r="K54" s="9"/>
      <c r="L54" s="9"/>
      <c r="M54" s="9"/>
      <c r="N54" s="9"/>
      <c r="O54" s="9"/>
      <c r="P54" s="9"/>
      <c r="Q54" s="9"/>
      <c r="R54" s="9"/>
      <c r="S54" s="8"/>
    </row>
    <row r="55" spans="1:19" s="6" customFormat="1" x14ac:dyDescent="0.2">
      <c r="A55" s="6" t="s">
        <v>1</v>
      </c>
      <c r="B55" s="7">
        <f t="shared" ref="B55:C55" si="57">IF(B42=0,IF(B54="","","*"&amp;TEXT(B54,"0.0x")),(B41+B42-B44)/B47)</f>
        <v>5.9728682392075934</v>
      </c>
      <c r="C55" s="7">
        <f t="shared" si="57"/>
        <v>7.8266141141141139</v>
      </c>
      <c r="D55" s="7">
        <f t="shared" ref="D55" si="58">IF(D42=0,IF(D54="","","*"&amp;TEXT(D54,"0.0x")),(D41+D42-D44)/D47)</f>
        <v>10.42155897435897</v>
      </c>
      <c r="E55" s="7">
        <f t="shared" ref="E55:F55" si="59">IF(E42=0,IF(E54="","","*"&amp;TEXT(E54,"0.0x")),(E41+E42-E44)/E47)</f>
        <v>10.652411577364047</v>
      </c>
      <c r="F55" s="7">
        <f t="shared" si="59"/>
        <v>13.450127752458279</v>
      </c>
      <c r="G55" s="7">
        <f t="shared" ref="G55:L55" si="60">IF(G42=0,IF(G54="","","*"&amp;TEXT(G54,"0.0x")),(G41+G42-G44)/G47)</f>
        <v>10.384348787878787</v>
      </c>
      <c r="H55" s="7">
        <f t="shared" si="60"/>
        <v>10.222379518072289</v>
      </c>
      <c r="I55" s="7">
        <f t="shared" si="60"/>
        <v>10.710464392098652</v>
      </c>
      <c r="J55" s="7">
        <f t="shared" si="60"/>
        <v>10.851970181043663</v>
      </c>
      <c r="K55" s="7">
        <f t="shared" si="60"/>
        <v>10.995379725280964</v>
      </c>
      <c r="L55" s="7">
        <f t="shared" si="60"/>
        <v>11.92111959287532</v>
      </c>
      <c r="M55" s="7"/>
      <c r="N55" s="7">
        <f>IF(N42=0,IF(N54="","","*"&amp;TEXT(N54,"0.0x")),(N41+N42-N44)/N47)</f>
        <v>13.787638668779714</v>
      </c>
      <c r="O55" s="7" t="str">
        <f>IF(O42=0,IF(O54="","","*"&amp;TEXT(O54,"0.0x")),(O41+O42-O44)/O47)</f>
        <v/>
      </c>
      <c r="P55" s="7" t="str">
        <f>IF(P42=0,IF(P54="","","*"&amp;TEXT(P54,"0.0x")),(P41+P42-P44)/P47)</f>
        <v/>
      </c>
      <c r="Q55" s="7"/>
      <c r="R55" s="7"/>
      <c r="S55" s="7" t="str">
        <f>IF(S42=0,IF(S54="","",CONCATENATE("* ",S54,"x")),(S41+S42-S44)/S47)</f>
        <v/>
      </c>
    </row>
    <row r="56" spans="1:19" x14ac:dyDescent="0.2">
      <c r="R56" s="3"/>
    </row>
    <row r="57" spans="1:19" ht="80.25" customHeight="1" x14ac:dyDescent="0.2">
      <c r="A57" s="5" t="s">
        <v>0</v>
      </c>
      <c r="B57" s="4" t="s">
        <v>104</v>
      </c>
      <c r="C57" s="4" t="s">
        <v>104</v>
      </c>
      <c r="D57" s="4" t="s">
        <v>104</v>
      </c>
      <c r="E57" s="4" t="s">
        <v>104</v>
      </c>
      <c r="F57" s="4" t="s">
        <v>104</v>
      </c>
      <c r="G57" s="4" t="s">
        <v>104</v>
      </c>
      <c r="H57" s="4" t="s">
        <v>104</v>
      </c>
      <c r="I57" s="4" t="s">
        <v>369</v>
      </c>
      <c r="J57" s="4" t="s">
        <v>369</v>
      </c>
      <c r="K57" s="4" t="s">
        <v>370</v>
      </c>
      <c r="L57" s="4" t="s">
        <v>342</v>
      </c>
      <c r="M57" s="4"/>
      <c r="N57" s="4" t="s">
        <v>341</v>
      </c>
      <c r="O57" s="4"/>
      <c r="P57" s="4"/>
      <c r="Q57" s="4"/>
      <c r="R57" s="4"/>
      <c r="S57" s="4"/>
    </row>
    <row r="58" spans="1:19" x14ac:dyDescent="0.2">
      <c r="A58" s="2"/>
      <c r="B58" s="3"/>
      <c r="C58" s="3"/>
      <c r="D58" s="3"/>
      <c r="E58" s="3"/>
      <c r="F58" s="3"/>
      <c r="G58" s="3"/>
      <c r="H58" s="3"/>
      <c r="I58" s="3"/>
      <c r="J58" s="3"/>
      <c r="K58" s="3"/>
      <c r="L58" s="3"/>
      <c r="M58" s="3"/>
      <c r="N58" s="3"/>
    </row>
    <row r="59" spans="1:19" x14ac:dyDescent="0.2">
      <c r="A59" s="2"/>
    </row>
  </sheetData>
  <pageMargins left="0.7" right="0.7" top="0.75" bottom="0.75" header="0.3" footer="0.3"/>
  <pageSetup orientation="portrait" r:id="rId1"/>
  <ignoredErrors>
    <ignoredError sqref="N24:P25 L46:P47 I46:J48 K46 G49:K54 F46:H46 G47:H48 K47:K48" formulaRange="1"/>
    <ignoredError sqref="N26" formula="1"/>
  </ignoredErrors>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2:P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4" width="10.7109375" style="1" customWidth="1"/>
    <col min="15" max="16384" width="9.140625" style="1"/>
  </cols>
  <sheetData>
    <row r="2" spans="1:14" x14ac:dyDescent="0.2">
      <c r="A2" s="34" t="s">
        <v>45</v>
      </c>
      <c r="B2" s="1" t="s">
        <v>92</v>
      </c>
    </row>
    <row r="3" spans="1:14" s="35" customFormat="1" x14ac:dyDescent="0.2">
      <c r="A3" s="36" t="s">
        <v>43</v>
      </c>
      <c r="B3" s="35" t="s">
        <v>126</v>
      </c>
    </row>
    <row r="4" spans="1:14" x14ac:dyDescent="0.2">
      <c r="A4" s="34" t="s">
        <v>41</v>
      </c>
      <c r="B4" s="1" t="s">
        <v>40</v>
      </c>
    </row>
    <row r="5" spans="1:14" x14ac:dyDescent="0.2">
      <c r="A5" s="34" t="s">
        <v>39</v>
      </c>
    </row>
    <row r="6" spans="1:14" x14ac:dyDescent="0.2">
      <c r="A6" s="34" t="s">
        <v>38</v>
      </c>
      <c r="B6" s="1">
        <v>3</v>
      </c>
    </row>
    <row r="7" spans="1:14" x14ac:dyDescent="0.2">
      <c r="A7" s="34" t="s">
        <v>37</v>
      </c>
      <c r="B7" s="1" t="e">
        <v>#N/A</v>
      </c>
    </row>
    <row r="8" spans="1:14" x14ac:dyDescent="0.2">
      <c r="A8" s="34" t="s">
        <v>281</v>
      </c>
      <c r="B8" s="1" t="s">
        <v>328</v>
      </c>
    </row>
    <row r="9" spans="1:14" x14ac:dyDescent="0.2">
      <c r="A9" s="22"/>
    </row>
    <row r="10" spans="1:14" x14ac:dyDescent="0.2">
      <c r="A10" s="22" t="s">
        <v>36</v>
      </c>
      <c r="B10" s="33">
        <v>43463</v>
      </c>
      <c r="C10" s="33">
        <v>43373</v>
      </c>
      <c r="D10" s="33">
        <v>43281</v>
      </c>
      <c r="E10" s="33">
        <v>43190</v>
      </c>
      <c r="F10" s="33">
        <v>43100</v>
      </c>
      <c r="G10" s="33">
        <v>43008</v>
      </c>
      <c r="H10" s="33">
        <f t="shared" ref="H10:N10" si="0">EOMONTH(G10,-3)</f>
        <v>42916</v>
      </c>
      <c r="I10" s="33">
        <f t="shared" si="0"/>
        <v>42825</v>
      </c>
      <c r="J10" s="33">
        <f t="shared" si="0"/>
        <v>42735</v>
      </c>
      <c r="K10" s="33">
        <f t="shared" si="0"/>
        <v>42643</v>
      </c>
      <c r="L10" s="33">
        <f t="shared" si="0"/>
        <v>42551</v>
      </c>
      <c r="M10" s="33">
        <f t="shared" si="0"/>
        <v>42460</v>
      </c>
      <c r="N10" s="33">
        <f t="shared" si="0"/>
        <v>42369</v>
      </c>
    </row>
    <row r="12" spans="1:14" x14ac:dyDescent="0.2">
      <c r="A12" s="15" t="s">
        <v>35</v>
      </c>
      <c r="B12" s="19">
        <f>1514.121-C12-D12-E12</f>
        <v>330.38600000000014</v>
      </c>
      <c r="C12" s="19">
        <v>365.76499999999999</v>
      </c>
      <c r="D12" s="19">
        <v>409.74700000000001</v>
      </c>
      <c r="E12" s="19">
        <v>408.22300000000001</v>
      </c>
      <c r="F12" s="19">
        <f>1306.911-I12-H12-G12</f>
        <v>312.48800000000006</v>
      </c>
      <c r="G12" s="19">
        <v>323.68700000000001</v>
      </c>
      <c r="H12" s="19">
        <v>341.673</v>
      </c>
      <c r="I12" s="19">
        <v>329.06299999999999</v>
      </c>
      <c r="J12" s="19">
        <v>267.41000000000003</v>
      </c>
      <c r="K12" s="19">
        <v>280.81900000000002</v>
      </c>
      <c r="L12" s="19">
        <v>309.76100000000002</v>
      </c>
      <c r="M12" s="19">
        <v>306.91000000000003</v>
      </c>
      <c r="N12" s="19">
        <v>259.21899999999994</v>
      </c>
    </row>
    <row r="13" spans="1:14" s="28" customFormat="1" x14ac:dyDescent="0.2">
      <c r="A13" s="28" t="s">
        <v>34</v>
      </c>
      <c r="B13" s="28">
        <f t="shared" ref="B13:J13" si="1">+B12/F12-1</f>
        <v>5.7275799390696935E-2</v>
      </c>
      <c r="C13" s="28">
        <f t="shared" si="1"/>
        <v>0.129995952880406</v>
      </c>
      <c r="D13" s="28">
        <f t="shared" si="1"/>
        <v>0.19923728243086236</v>
      </c>
      <c r="E13" s="28">
        <f t="shared" si="1"/>
        <v>0.2405618377028107</v>
      </c>
      <c r="F13" s="28">
        <f t="shared" si="1"/>
        <v>0.16857260386672168</v>
      </c>
      <c r="G13" s="28">
        <f t="shared" si="1"/>
        <v>0.15265348854600291</v>
      </c>
      <c r="H13" s="28">
        <f t="shared" si="1"/>
        <v>0.10302136163041831</v>
      </c>
      <c r="I13" s="28">
        <f t="shared" si="1"/>
        <v>7.2180769606724926E-2</v>
      </c>
      <c r="J13" s="28">
        <f t="shared" si="1"/>
        <v>3.1598763979492572E-2</v>
      </c>
    </row>
    <row r="14" spans="1:14" s="23" customFormat="1" x14ac:dyDescent="0.2">
      <c r="A14" s="31" t="s">
        <v>33</v>
      </c>
      <c r="B14" s="32" t="s">
        <v>32</v>
      </c>
      <c r="C14" s="32" t="s">
        <v>32</v>
      </c>
      <c r="D14" s="32" t="s">
        <v>32</v>
      </c>
      <c r="E14" s="32" t="s">
        <v>32</v>
      </c>
      <c r="F14" s="32" t="s">
        <v>32</v>
      </c>
      <c r="G14" s="32" t="s">
        <v>32</v>
      </c>
      <c r="H14" s="32" t="s">
        <v>32</v>
      </c>
      <c r="I14" s="32" t="s">
        <v>32</v>
      </c>
      <c r="J14" s="32" t="s">
        <v>32</v>
      </c>
      <c r="K14" s="31"/>
      <c r="L14" s="31"/>
      <c r="M14" s="31"/>
      <c r="N14" s="31"/>
    </row>
    <row r="16" spans="1:14" s="22" customFormat="1" x14ac:dyDescent="0.2">
      <c r="A16" s="30" t="s">
        <v>31</v>
      </c>
      <c r="B16" s="29">
        <f>450.837-C16-D16-E16</f>
        <v>96.136999999999972</v>
      </c>
      <c r="C16" s="29">
        <v>134.5</v>
      </c>
      <c r="D16" s="29">
        <v>142.30000000000001</v>
      </c>
      <c r="E16" s="29">
        <v>77.900000000000006</v>
      </c>
      <c r="F16" s="29">
        <f>337.213-I16-H16-G16</f>
        <v>70.416000000000025</v>
      </c>
      <c r="G16" s="29">
        <v>108.58500000000001</v>
      </c>
      <c r="H16" s="29">
        <v>113.42300000000002</v>
      </c>
      <c r="I16" s="29">
        <v>44.788999999999973</v>
      </c>
      <c r="J16" s="29">
        <v>61.243999999999957</v>
      </c>
      <c r="K16" s="29">
        <v>79.725000000000023</v>
      </c>
      <c r="L16" s="29">
        <v>87.720000000000027</v>
      </c>
      <c r="M16" s="29">
        <v>29.710000000000036</v>
      </c>
      <c r="N16" s="29">
        <v>45.280999999999949</v>
      </c>
    </row>
    <row r="17" spans="1:16" s="28" customFormat="1" x14ac:dyDescent="0.2">
      <c r="A17" s="28" t="s">
        <v>30</v>
      </c>
      <c r="B17" s="28">
        <f t="shared" ref="B17" si="2">+B16/B12</f>
        <v>0.29098387946220461</v>
      </c>
      <c r="C17" s="28">
        <f t="shared" ref="C17:N17" si="3">+C16/C12</f>
        <v>0.36772244473910848</v>
      </c>
      <c r="D17" s="28">
        <f t="shared" si="3"/>
        <v>0.34728747251352665</v>
      </c>
      <c r="E17" s="28">
        <f t="shared" si="3"/>
        <v>0.19082707245794578</v>
      </c>
      <c r="F17" s="28">
        <f t="shared" si="3"/>
        <v>0.22533985305035717</v>
      </c>
      <c r="G17" s="28">
        <f t="shared" si="3"/>
        <v>0.33546296267690701</v>
      </c>
      <c r="H17" s="28">
        <f t="shared" si="3"/>
        <v>0.33196360262590258</v>
      </c>
      <c r="I17" s="28">
        <f t="shared" si="3"/>
        <v>0.13611071436168751</v>
      </c>
      <c r="J17" s="28">
        <f t="shared" si="3"/>
        <v>0.22902658838487697</v>
      </c>
      <c r="K17" s="28">
        <f t="shared" si="3"/>
        <v>0.28390173029602706</v>
      </c>
      <c r="L17" s="28">
        <f t="shared" si="3"/>
        <v>0.28318606925984879</v>
      </c>
      <c r="M17" s="28">
        <f t="shared" si="3"/>
        <v>9.680362321201666E-2</v>
      </c>
      <c r="N17" s="28">
        <f t="shared" si="3"/>
        <v>0.17468241139731255</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v>0</v>
      </c>
      <c r="N19" s="19">
        <v>0</v>
      </c>
    </row>
    <row r="20" spans="1:16" s="23" customFormat="1" x14ac:dyDescent="0.2">
      <c r="A20" s="15" t="s">
        <v>28</v>
      </c>
      <c r="B20" s="19">
        <v>0</v>
      </c>
      <c r="C20" s="19">
        <v>0</v>
      </c>
      <c r="D20" s="19">
        <v>0</v>
      </c>
      <c r="E20" s="19">
        <v>0</v>
      </c>
      <c r="F20" s="19">
        <v>0</v>
      </c>
      <c r="G20" s="19">
        <v>0</v>
      </c>
      <c r="H20" s="19">
        <v>0</v>
      </c>
      <c r="I20" s="19">
        <v>0</v>
      </c>
      <c r="J20" s="19">
        <v>0</v>
      </c>
      <c r="K20" s="19">
        <v>0</v>
      </c>
      <c r="L20" s="19">
        <v>0</v>
      </c>
      <c r="M20" s="19">
        <v>0</v>
      </c>
      <c r="N20" s="19">
        <v>0</v>
      </c>
    </row>
    <row r="21" spans="1:16" s="23" customFormat="1" x14ac:dyDescent="0.2">
      <c r="A21" s="15" t="s">
        <v>18</v>
      </c>
      <c r="B21" s="19">
        <v>0</v>
      </c>
      <c r="C21" s="19">
        <v>0</v>
      </c>
      <c r="D21" s="19">
        <v>0</v>
      </c>
      <c r="E21" s="19">
        <v>0</v>
      </c>
      <c r="F21" s="19">
        <v>0</v>
      </c>
      <c r="G21" s="19">
        <v>0</v>
      </c>
      <c r="H21" s="19">
        <v>0</v>
      </c>
      <c r="I21" s="19">
        <v>0</v>
      </c>
      <c r="J21" s="19">
        <v>0</v>
      </c>
      <c r="K21" s="19">
        <v>0</v>
      </c>
      <c r="L21" s="19">
        <v>0</v>
      </c>
      <c r="M21" s="19">
        <v>0</v>
      </c>
      <c r="N21" s="19">
        <v>0</v>
      </c>
    </row>
    <row r="22" spans="1:16" s="22" customFormat="1" x14ac:dyDescent="0.2">
      <c r="A22" s="22" t="s">
        <v>23</v>
      </c>
      <c r="B22" s="20">
        <f t="shared" ref="B22" si="4">SUM(B16,B19:B21)</f>
        <v>96.136999999999972</v>
      </c>
      <c r="C22" s="20">
        <f t="shared" ref="C22:N22" si="5">SUM(C16,C19:C21)</f>
        <v>134.5</v>
      </c>
      <c r="D22" s="20">
        <f t="shared" si="5"/>
        <v>142.30000000000001</v>
      </c>
      <c r="E22" s="20">
        <f t="shared" si="5"/>
        <v>77.900000000000006</v>
      </c>
      <c r="F22" s="20">
        <f t="shared" si="5"/>
        <v>70.416000000000025</v>
      </c>
      <c r="G22" s="20">
        <f t="shared" si="5"/>
        <v>108.58500000000001</v>
      </c>
      <c r="H22" s="20">
        <f t="shared" si="5"/>
        <v>113.42300000000002</v>
      </c>
      <c r="I22" s="20">
        <f t="shared" si="5"/>
        <v>44.788999999999973</v>
      </c>
      <c r="J22" s="20">
        <f t="shared" si="5"/>
        <v>61.243999999999957</v>
      </c>
      <c r="K22" s="20">
        <f t="shared" si="5"/>
        <v>79.725000000000023</v>
      </c>
      <c r="L22" s="20">
        <f t="shared" si="5"/>
        <v>87.720000000000027</v>
      </c>
      <c r="M22" s="20">
        <f t="shared" si="5"/>
        <v>29.710000000000036</v>
      </c>
      <c r="N22" s="20">
        <f t="shared" si="5"/>
        <v>45.280999999999949</v>
      </c>
    </row>
    <row r="23" spans="1:16" s="22" customFormat="1" x14ac:dyDescent="0.2">
      <c r="B23" s="20"/>
      <c r="C23" s="20"/>
      <c r="D23" s="20"/>
      <c r="E23" s="20"/>
      <c r="F23" s="20"/>
      <c r="G23" s="20"/>
      <c r="H23" s="20"/>
      <c r="I23" s="20"/>
      <c r="J23" s="20"/>
      <c r="K23" s="20"/>
      <c r="L23" s="20"/>
      <c r="M23" s="20"/>
      <c r="N23" s="20"/>
    </row>
    <row r="24" spans="1:16" s="22" customFormat="1" x14ac:dyDescent="0.2">
      <c r="A24" s="22" t="s">
        <v>27</v>
      </c>
      <c r="B24" s="20">
        <f t="shared" ref="B24:K24" si="6">SUM(B22:E22)</f>
        <v>450.83699999999999</v>
      </c>
      <c r="C24" s="20">
        <f t="shared" si="6"/>
        <v>425.1160000000001</v>
      </c>
      <c r="D24" s="20">
        <f t="shared" si="6"/>
        <v>399.20100000000002</v>
      </c>
      <c r="E24" s="20">
        <f t="shared" si="6"/>
        <v>370.32400000000007</v>
      </c>
      <c r="F24" s="20">
        <f t="shared" si="6"/>
        <v>337.21300000000002</v>
      </c>
      <c r="G24" s="20">
        <f t="shared" si="6"/>
        <v>328.041</v>
      </c>
      <c r="H24" s="20">
        <f t="shared" si="6"/>
        <v>299.18099999999998</v>
      </c>
      <c r="I24" s="20">
        <f t="shared" si="6"/>
        <v>273.47799999999995</v>
      </c>
      <c r="J24" s="20">
        <f t="shared" si="6"/>
        <v>258.39900000000006</v>
      </c>
      <c r="K24" s="20">
        <f t="shared" si="6"/>
        <v>242.43600000000004</v>
      </c>
      <c r="L24" s="20"/>
      <c r="M24" s="20"/>
      <c r="N24" s="20"/>
    </row>
    <row r="25" spans="1:16" s="23" customFormat="1" x14ac:dyDescent="0.2">
      <c r="A25" s="15" t="s">
        <v>26</v>
      </c>
      <c r="B25" s="27">
        <v>0</v>
      </c>
      <c r="C25" s="27">
        <v>0</v>
      </c>
      <c r="D25" s="27">
        <v>0</v>
      </c>
      <c r="E25" s="27">
        <v>0</v>
      </c>
      <c r="F25" s="27">
        <v>0</v>
      </c>
      <c r="G25" s="27">
        <v>0</v>
      </c>
      <c r="H25" s="27">
        <v>0</v>
      </c>
      <c r="I25" s="27">
        <v>0</v>
      </c>
      <c r="J25" s="27">
        <v>0</v>
      </c>
      <c r="K25" s="27">
        <v>0</v>
      </c>
      <c r="L25" s="27"/>
      <c r="M25" s="27"/>
      <c r="N25" s="27"/>
    </row>
    <row r="26" spans="1:16" s="23" customFormat="1" x14ac:dyDescent="0.2">
      <c r="A26" s="15" t="s">
        <v>25</v>
      </c>
      <c r="B26" s="21">
        <v>0</v>
      </c>
      <c r="C26" s="21">
        <v>0</v>
      </c>
      <c r="D26" s="21">
        <v>0</v>
      </c>
      <c r="E26" s="21">
        <v>0</v>
      </c>
      <c r="F26" s="21">
        <v>0</v>
      </c>
      <c r="G26" s="21">
        <v>0</v>
      </c>
      <c r="H26" s="21">
        <v>0</v>
      </c>
      <c r="I26" s="21">
        <v>0</v>
      </c>
      <c r="J26" s="21">
        <v>0</v>
      </c>
      <c r="K26" s="21">
        <v>0</v>
      </c>
      <c r="L26" s="26"/>
      <c r="M26" s="26"/>
      <c r="N26" s="26"/>
    </row>
    <row r="27" spans="1:16" s="24" customFormat="1" x14ac:dyDescent="0.2">
      <c r="A27" s="22" t="s">
        <v>24</v>
      </c>
      <c r="B27" s="20">
        <f t="shared" ref="B27" si="7">SUM(B24:B26)</f>
        <v>450.83699999999999</v>
      </c>
      <c r="C27" s="20">
        <f t="shared" ref="C27:K27" si="8">SUM(C24:C26)</f>
        <v>425.1160000000001</v>
      </c>
      <c r="D27" s="20">
        <f t="shared" si="8"/>
        <v>399.20100000000002</v>
      </c>
      <c r="E27" s="20">
        <f t="shared" si="8"/>
        <v>370.32400000000007</v>
      </c>
      <c r="F27" s="20">
        <f t="shared" si="8"/>
        <v>337.21300000000002</v>
      </c>
      <c r="G27" s="20">
        <f t="shared" si="8"/>
        <v>328.041</v>
      </c>
      <c r="H27" s="20">
        <f t="shared" si="8"/>
        <v>299.18099999999998</v>
      </c>
      <c r="I27" s="20">
        <f t="shared" si="8"/>
        <v>273.47799999999995</v>
      </c>
      <c r="J27" s="20">
        <f t="shared" si="8"/>
        <v>258.39900000000006</v>
      </c>
      <c r="K27" s="20">
        <f t="shared" si="8"/>
        <v>242.43600000000004</v>
      </c>
      <c r="L27" s="25"/>
      <c r="M27" s="25"/>
      <c r="N27" s="25"/>
    </row>
    <row r="28" spans="1:16" s="23" customFormat="1" x14ac:dyDescent="0.2"/>
    <row r="29" spans="1:16" s="22" customFormat="1" x14ac:dyDescent="0.2">
      <c r="A29" s="22" t="s">
        <v>23</v>
      </c>
      <c r="B29" s="20">
        <f t="shared" ref="B29" si="9">B22</f>
        <v>96.136999999999972</v>
      </c>
      <c r="C29" s="20">
        <f t="shared" ref="C29:N29" si="10">C22</f>
        <v>134.5</v>
      </c>
      <c r="D29" s="20">
        <f t="shared" si="10"/>
        <v>142.30000000000001</v>
      </c>
      <c r="E29" s="20">
        <f t="shared" si="10"/>
        <v>77.900000000000006</v>
      </c>
      <c r="F29" s="20">
        <f t="shared" si="10"/>
        <v>70.416000000000025</v>
      </c>
      <c r="G29" s="20">
        <f t="shared" si="10"/>
        <v>108.58500000000001</v>
      </c>
      <c r="H29" s="20">
        <f t="shared" si="10"/>
        <v>113.42300000000002</v>
      </c>
      <c r="I29" s="20">
        <f t="shared" si="10"/>
        <v>44.788999999999973</v>
      </c>
      <c r="J29" s="20">
        <f t="shared" si="10"/>
        <v>61.243999999999957</v>
      </c>
      <c r="K29" s="20">
        <f t="shared" si="10"/>
        <v>79.725000000000023</v>
      </c>
      <c r="L29" s="20">
        <f t="shared" si="10"/>
        <v>87.720000000000027</v>
      </c>
      <c r="M29" s="20">
        <f t="shared" si="10"/>
        <v>29.710000000000036</v>
      </c>
      <c r="N29" s="20">
        <f t="shared" si="10"/>
        <v>45.280999999999949</v>
      </c>
    </row>
    <row r="30" spans="1:16" s="11" customFormat="1" x14ac:dyDescent="0.2">
      <c r="A30" s="19" t="s">
        <v>22</v>
      </c>
      <c r="B30" s="19">
        <f>-142.346-C30-D30-E30</f>
        <v>-35.108000000000004</v>
      </c>
      <c r="C30" s="19">
        <v>-35.506</v>
      </c>
      <c r="D30" s="19">
        <v>-35.866</v>
      </c>
      <c r="E30" s="19">
        <v>-35.866</v>
      </c>
      <c r="F30" s="19">
        <f>-112.784-G30-H30-I30</f>
        <v>-30.557000000000013</v>
      </c>
      <c r="G30" s="19">
        <v>-26.992999999999999</v>
      </c>
      <c r="H30" s="19">
        <v>-27.091999999999999</v>
      </c>
      <c r="I30" s="19">
        <v>-28.141999999999999</v>
      </c>
      <c r="J30" s="19">
        <v>-28.237000000000009</v>
      </c>
      <c r="K30" s="19">
        <v>-28.329000000000001</v>
      </c>
      <c r="L30" s="19">
        <v>-28.609000000000002</v>
      </c>
      <c r="M30" s="19">
        <v>-30.024999999999999</v>
      </c>
      <c r="N30" s="19">
        <v>-30.103999999999999</v>
      </c>
    </row>
    <row r="31" spans="1:16" s="11" customFormat="1" x14ac:dyDescent="0.2">
      <c r="A31" s="19" t="s">
        <v>21</v>
      </c>
      <c r="B31" s="19">
        <f>-20.493-C31-D31-E31</f>
        <v>-0.45399999999999885</v>
      </c>
      <c r="C31" s="19">
        <v>-12.374000000000001</v>
      </c>
      <c r="D31" s="19">
        <v>-19.824999999999999</v>
      </c>
      <c r="E31" s="19">
        <f>12.617-0.457</f>
        <v>12.16</v>
      </c>
      <c r="F31" s="19">
        <f>18.237-G31-H31-I31</f>
        <v>44.363</v>
      </c>
      <c r="G31" s="19">
        <v>-19.593</v>
      </c>
      <c r="H31" s="19">
        <f>-25.992+5.936</f>
        <v>-20.056000000000001</v>
      </c>
      <c r="I31" s="19">
        <f>9.128+4.395</f>
        <v>13.523</v>
      </c>
      <c r="J31" s="19">
        <f>-25.516-M31-L31-K31</f>
        <v>-22.266999999999996</v>
      </c>
      <c r="K31" s="19">
        <f>-3.989+8.387</f>
        <v>4.3980000000000006</v>
      </c>
      <c r="L31" s="19">
        <f>-14.034+0.487</f>
        <v>-13.547000000000001</v>
      </c>
      <c r="M31" s="19">
        <f>5.603+0.297</f>
        <v>5.8999999999999995</v>
      </c>
      <c r="N31" s="19">
        <f>3.282+2.209</f>
        <v>5.4909999999999997</v>
      </c>
      <c r="P31" s="56"/>
    </row>
    <row r="32" spans="1:16" s="11" customFormat="1" x14ac:dyDescent="0.2">
      <c r="A32" s="19" t="s">
        <v>20</v>
      </c>
      <c r="B32" s="19">
        <f>-7.999-1.148-3.991+2.224+16.6-17.198-13.001+27.323-C32-D32-E32</f>
        <v>-8.8339999999999979</v>
      </c>
      <c r="C32" s="19">
        <f>-12.763+11.888+2.535-2.024+16.634-12.465-12.819+20.658-D32-E32</f>
        <v>-1.6180000000000003</v>
      </c>
      <c r="D32" s="19">
        <f>-9.65+4.999-3.023-0.798-1.696+13.259-4.309+14.48-E32</f>
        <v>1.8640000000000008</v>
      </c>
      <c r="E32" s="19">
        <f>-5.562+1.241-15.088+7.51-2.175+22.932-6.328+8.868</f>
        <v>11.398</v>
      </c>
      <c r="F32" s="19">
        <f>5.444-4.504-4.359-14.507+4.414+8.298+5.683+4.281-I32-H32-G32</f>
        <v>-16.694999999999993</v>
      </c>
      <c r="G32" s="19">
        <f>6.768+4.821+9.711-19.622-21.459+16.692+5.907+18.627-H32-I32</f>
        <v>25.217999999999986</v>
      </c>
      <c r="H32" s="19">
        <v>-11.640999999999991</v>
      </c>
      <c r="I32" s="19">
        <v>7.8679999999999977</v>
      </c>
      <c r="J32" s="19">
        <v>-10.299000000000003</v>
      </c>
      <c r="K32" s="19">
        <v>-11.345000000000002</v>
      </c>
      <c r="L32" s="19">
        <v>-45.238</v>
      </c>
      <c r="M32" s="19">
        <v>34.706999999999994</v>
      </c>
      <c r="N32" s="19">
        <v>-21.385999999999999</v>
      </c>
    </row>
    <row r="33" spans="1:14" s="11" customFormat="1" x14ac:dyDescent="0.2">
      <c r="A33" s="19" t="s">
        <v>19</v>
      </c>
      <c r="B33" s="19">
        <v>0</v>
      </c>
      <c r="C33" s="19">
        <v>0</v>
      </c>
      <c r="D33" s="19">
        <v>0</v>
      </c>
      <c r="E33" s="19">
        <v>0</v>
      </c>
      <c r="F33" s="19">
        <v>0</v>
      </c>
      <c r="G33" s="19">
        <v>0</v>
      </c>
      <c r="H33" s="19">
        <v>0</v>
      </c>
      <c r="I33" s="19">
        <v>0</v>
      </c>
      <c r="J33" s="19">
        <v>0</v>
      </c>
      <c r="K33" s="19">
        <v>0</v>
      </c>
      <c r="L33" s="19">
        <v>0</v>
      </c>
      <c r="M33" s="19">
        <v>0</v>
      </c>
      <c r="N33" s="19">
        <v>0</v>
      </c>
    </row>
    <row r="34" spans="1:14" s="11" customFormat="1" x14ac:dyDescent="0.2">
      <c r="A34" s="19" t="s">
        <v>18</v>
      </c>
      <c r="B34" s="21">
        <v>0</v>
      </c>
      <c r="C34" s="21">
        <v>0</v>
      </c>
      <c r="D34" s="21">
        <v>0</v>
      </c>
      <c r="E34" s="21">
        <v>0</v>
      </c>
      <c r="F34" s="21">
        <v>0</v>
      </c>
      <c r="G34" s="21">
        <v>0</v>
      </c>
      <c r="H34" s="21">
        <v>0</v>
      </c>
      <c r="I34" s="21">
        <v>0</v>
      </c>
      <c r="J34" s="21">
        <v>0</v>
      </c>
      <c r="K34" s="21">
        <v>0</v>
      </c>
      <c r="L34" s="21">
        <v>0</v>
      </c>
      <c r="M34" s="21">
        <v>0</v>
      </c>
      <c r="N34" s="21">
        <v>0</v>
      </c>
    </row>
    <row r="35" spans="1:14" s="20" customFormat="1" x14ac:dyDescent="0.2">
      <c r="A35" s="20" t="s">
        <v>17</v>
      </c>
      <c r="B35" s="20">
        <f>295.592-C35-D35-E35</f>
        <v>40.952999999999975</v>
      </c>
      <c r="C35" s="20">
        <f>254.639-D35-E35</f>
        <v>86.052000000000021</v>
      </c>
      <c r="D35" s="20">
        <f>168.587-E35</f>
        <v>95.127999999999986</v>
      </c>
      <c r="E35" s="20">
        <v>73.459000000000003</v>
      </c>
      <c r="F35" s="20">
        <f>222.274-I35-H35-G35</f>
        <v>37.469000000000008</v>
      </c>
      <c r="G35" s="20">
        <f>184.805-H35-I35</f>
        <v>86.69</v>
      </c>
      <c r="H35" s="20">
        <v>55.775999999999996</v>
      </c>
      <c r="I35" s="20">
        <v>42.338999999999999</v>
      </c>
      <c r="J35" s="20">
        <v>25.126999999999995</v>
      </c>
      <c r="K35" s="20">
        <v>47.551000000000002</v>
      </c>
      <c r="L35" s="20">
        <v>3.0330000000000013</v>
      </c>
      <c r="M35" s="20">
        <v>43.332999999999998</v>
      </c>
      <c r="N35" s="20">
        <v>1.9469999999999956</v>
      </c>
    </row>
    <row r="36" spans="1:14" s="11" customFormat="1" x14ac:dyDescent="0.2">
      <c r="A36" s="19" t="s">
        <v>16</v>
      </c>
      <c r="B36" s="21">
        <f>-19.05-27.763-C36-D36-E36</f>
        <v>-14.766000000000005</v>
      </c>
      <c r="C36" s="21">
        <f>-11.932-20.115-D36-E36</f>
        <v>-11.195999999999998</v>
      </c>
      <c r="D36" s="21">
        <f>-7.733-13.118-E36</f>
        <v>-13.131999999999998</v>
      </c>
      <c r="E36" s="21">
        <f>-1.753-5.966</f>
        <v>-7.7190000000000003</v>
      </c>
      <c r="F36" s="21">
        <f>-13.732-26.916-I36-H36-G36</f>
        <v>-9.6509999999999962</v>
      </c>
      <c r="G36" s="21">
        <f>-10.755-20.242-H36-I36</f>
        <v>-11.963999999999999</v>
      </c>
      <c r="H36" s="21">
        <f>-2.203-6.348</f>
        <v>-8.5510000000000002</v>
      </c>
      <c r="I36" s="21">
        <f>-3.411-7.071</f>
        <v>-10.481999999999999</v>
      </c>
      <c r="J36" s="21">
        <f>-1-6.897</f>
        <v>-7.8970000000000002</v>
      </c>
      <c r="K36" s="21">
        <f>-2.863-6.703</f>
        <v>-9.5660000000000007</v>
      </c>
      <c r="L36" s="21">
        <f>-0.633-7.356</f>
        <v>-7.9889999999999999</v>
      </c>
      <c r="M36" s="21">
        <f>-1.06-7.829</f>
        <v>-8.8889999999999993</v>
      </c>
      <c r="N36" s="21">
        <f>-0.383-7.152</f>
        <v>-7.5350000000000001</v>
      </c>
    </row>
    <row r="37" spans="1:14" s="20" customFormat="1" x14ac:dyDescent="0.2">
      <c r="A37" s="20" t="s">
        <v>15</v>
      </c>
      <c r="B37" s="20">
        <f t="shared" ref="B37:N37" si="11">+B35+B36</f>
        <v>26.186999999999969</v>
      </c>
      <c r="C37" s="20">
        <f t="shared" si="11"/>
        <v>74.856000000000023</v>
      </c>
      <c r="D37" s="20">
        <f t="shared" si="11"/>
        <v>81.995999999999981</v>
      </c>
      <c r="E37" s="20">
        <f t="shared" si="11"/>
        <v>65.740000000000009</v>
      </c>
      <c r="F37" s="20">
        <f t="shared" si="11"/>
        <v>27.818000000000012</v>
      </c>
      <c r="G37" s="20">
        <f t="shared" si="11"/>
        <v>74.725999999999999</v>
      </c>
      <c r="H37" s="20">
        <f t="shared" si="11"/>
        <v>47.224999999999994</v>
      </c>
      <c r="I37" s="20">
        <f t="shared" si="11"/>
        <v>31.856999999999999</v>
      </c>
      <c r="J37" s="20">
        <f t="shared" si="11"/>
        <v>17.229999999999997</v>
      </c>
      <c r="K37" s="20">
        <f t="shared" si="11"/>
        <v>37.984999999999999</v>
      </c>
      <c r="L37" s="20">
        <f t="shared" si="11"/>
        <v>-4.9559999999999986</v>
      </c>
      <c r="M37" s="20">
        <f t="shared" si="11"/>
        <v>34.444000000000003</v>
      </c>
      <c r="N37" s="20">
        <f t="shared" si="11"/>
        <v>-5.5880000000000045</v>
      </c>
    </row>
    <row r="39" spans="1:14" s="16" customFormat="1" x14ac:dyDescent="0.2">
      <c r="A39" s="18" t="s">
        <v>14</v>
      </c>
      <c r="B39" s="19">
        <v>0</v>
      </c>
      <c r="C39" s="19">
        <v>0</v>
      </c>
      <c r="D39" s="19">
        <v>0</v>
      </c>
      <c r="E39" s="19">
        <v>0</v>
      </c>
      <c r="F39" s="19">
        <v>25</v>
      </c>
      <c r="G39" s="19">
        <v>0</v>
      </c>
      <c r="H39" s="19">
        <v>0</v>
      </c>
      <c r="I39" s="19">
        <v>0</v>
      </c>
      <c r="J39" s="19">
        <v>0</v>
      </c>
      <c r="K39" s="19">
        <v>0</v>
      </c>
      <c r="L39" s="19"/>
      <c r="M39" s="19"/>
      <c r="N39" s="19"/>
    </row>
    <row r="40" spans="1:14" s="16" customFormat="1" x14ac:dyDescent="0.2">
      <c r="A40" s="18" t="s">
        <v>13</v>
      </c>
      <c r="B40" s="19">
        <v>1482.25</v>
      </c>
      <c r="C40" s="19">
        <v>1482.25</v>
      </c>
      <c r="D40" s="19">
        <v>1501.5</v>
      </c>
      <c r="E40" s="19">
        <v>1520.75</v>
      </c>
      <c r="F40" s="19">
        <v>1540</v>
      </c>
      <c r="G40" s="19">
        <v>1930.386</v>
      </c>
      <c r="H40" s="19">
        <v>1935.44</v>
      </c>
      <c r="I40" s="19">
        <v>2016</v>
      </c>
      <c r="J40" s="19">
        <v>2021.25</v>
      </c>
      <c r="K40" s="19">
        <v>2026.5</v>
      </c>
      <c r="L40" s="19"/>
      <c r="M40" s="19"/>
      <c r="N40" s="19"/>
    </row>
    <row r="41" spans="1:14" s="16" customFormat="1" x14ac:dyDescent="0.2">
      <c r="A41" s="18" t="s">
        <v>12</v>
      </c>
      <c r="B41" s="19">
        <f>B39+B40+300</f>
        <v>1782.25</v>
      </c>
      <c r="C41" s="19">
        <f>C39+C40+300</f>
        <v>1782.25</v>
      </c>
      <c r="D41" s="19">
        <f>D39+D40+300</f>
        <v>1801.5</v>
      </c>
      <c r="E41" s="19">
        <f>E39+E40+300</f>
        <v>1820.75</v>
      </c>
      <c r="F41" s="19">
        <f>F39+F40+300</f>
        <v>1865</v>
      </c>
      <c r="G41" s="19">
        <f>G39+G40</f>
        <v>1930.386</v>
      </c>
      <c r="H41" s="19">
        <f>H39+H40</f>
        <v>1935.44</v>
      </c>
      <c r="I41" s="19">
        <f>I39+I40</f>
        <v>2016</v>
      </c>
      <c r="J41" s="19">
        <f>J39+J40</f>
        <v>2021.25</v>
      </c>
      <c r="K41" s="19">
        <f>K39+K40</f>
        <v>2026.5</v>
      </c>
      <c r="L41" s="19"/>
      <c r="M41" s="19"/>
      <c r="N41" s="19"/>
    </row>
    <row r="42" spans="1:14" s="16" customFormat="1" x14ac:dyDescent="0.2">
      <c r="A42" s="18" t="s">
        <v>11</v>
      </c>
      <c r="B42" s="17">
        <f>66960122/1000000*31.88</f>
        <v>2134.6886893599999</v>
      </c>
      <c r="C42" s="17">
        <f>66837077/1000000*65.43</f>
        <v>4373.14994811</v>
      </c>
      <c r="D42" s="17">
        <f>66623118/1000000*69.29</f>
        <v>4616.3158462200008</v>
      </c>
      <c r="E42" s="17">
        <f>66282229/1000000*71.35</f>
        <v>4729.2370391499999</v>
      </c>
      <c r="F42" s="17">
        <f>64702012/1000000*44.28</f>
        <v>2865.0050913599998</v>
      </c>
      <c r="G42" s="17">
        <f>64530211/1000000*74.08</f>
        <v>4780.3980308799992</v>
      </c>
      <c r="H42" s="17">
        <f>64391084/1000000*33.42</f>
        <v>2151.9500272800005</v>
      </c>
      <c r="I42" s="17">
        <f>64169858/1000000*15.57</f>
        <v>999.12468906000015</v>
      </c>
      <c r="J42" s="17">
        <f>63954303/1000000*22.8</f>
        <v>1458.1581084000002</v>
      </c>
      <c r="K42" s="17">
        <f>63875551/1000000*5.98</f>
        <v>381.97579498000005</v>
      </c>
      <c r="L42" s="17"/>
      <c r="M42" s="17"/>
      <c r="N42" s="17"/>
    </row>
    <row r="43" spans="1:14" x14ac:dyDescent="0.2">
      <c r="B43" s="16"/>
      <c r="C43" s="16"/>
      <c r="D43" s="16"/>
      <c r="E43" s="16"/>
      <c r="F43" s="16"/>
      <c r="G43" s="16"/>
      <c r="H43" s="16"/>
      <c r="I43" s="16"/>
    </row>
    <row r="44" spans="1:14" x14ac:dyDescent="0.2">
      <c r="A44" s="15" t="s">
        <v>10</v>
      </c>
      <c r="B44" s="27">
        <v>236.97399999999999</v>
      </c>
      <c r="C44" s="27">
        <v>219.77</v>
      </c>
      <c r="D44" s="27">
        <v>167.755</v>
      </c>
      <c r="E44" s="27">
        <v>117.61499999999999</v>
      </c>
      <c r="F44" s="27">
        <v>83.054000000000002</v>
      </c>
      <c r="G44" s="27">
        <v>178.24699999999999</v>
      </c>
      <c r="H44" s="27">
        <v>104.49299999999998</v>
      </c>
      <c r="I44" s="27">
        <v>135.18799999999999</v>
      </c>
      <c r="J44" s="27">
        <v>108.65599999999998</v>
      </c>
      <c r="K44" s="27">
        <v>99.11699999999999</v>
      </c>
      <c r="L44" s="14"/>
      <c r="M44" s="14"/>
      <c r="N44" s="14"/>
    </row>
    <row r="46" spans="1:14" x14ac:dyDescent="0.2">
      <c r="A46" s="1" t="s">
        <v>9</v>
      </c>
      <c r="B46" s="11">
        <f t="shared" ref="B46:K46" si="12">SUM(B12:E12)</f>
        <v>1514.1210000000001</v>
      </c>
      <c r="C46" s="11">
        <f t="shared" si="12"/>
        <v>1496.223</v>
      </c>
      <c r="D46" s="11">
        <f t="shared" si="12"/>
        <v>1454.145</v>
      </c>
      <c r="E46" s="11">
        <f t="shared" si="12"/>
        <v>1386.0710000000001</v>
      </c>
      <c r="F46" s="11">
        <f t="shared" si="12"/>
        <v>1306.9110000000001</v>
      </c>
      <c r="G46" s="11">
        <f t="shared" si="12"/>
        <v>1261.8330000000001</v>
      </c>
      <c r="H46" s="11">
        <f t="shared" si="12"/>
        <v>1218.9649999999999</v>
      </c>
      <c r="I46" s="11">
        <f t="shared" si="12"/>
        <v>1187.0529999999999</v>
      </c>
      <c r="J46" s="11">
        <f t="shared" si="12"/>
        <v>1164.9000000000001</v>
      </c>
      <c r="K46" s="11">
        <f t="shared" si="12"/>
        <v>1156.7089999999998</v>
      </c>
    </row>
    <row r="47" spans="1:14" x14ac:dyDescent="0.2">
      <c r="A47" s="1" t="s">
        <v>8</v>
      </c>
      <c r="B47" s="11">
        <f t="shared" ref="B47" si="13">+B27</f>
        <v>450.83699999999999</v>
      </c>
      <c r="C47" s="11">
        <f t="shared" ref="C47:K47" si="14">+C27</f>
        <v>425.1160000000001</v>
      </c>
      <c r="D47" s="11">
        <f t="shared" si="14"/>
        <v>399.20100000000002</v>
      </c>
      <c r="E47" s="11">
        <f t="shared" si="14"/>
        <v>370.32400000000007</v>
      </c>
      <c r="F47" s="11">
        <f t="shared" si="14"/>
        <v>337.21300000000002</v>
      </c>
      <c r="G47" s="11">
        <f t="shared" si="14"/>
        <v>328.041</v>
      </c>
      <c r="H47" s="11">
        <f t="shared" si="14"/>
        <v>299.18099999999998</v>
      </c>
      <c r="I47" s="11">
        <f t="shared" si="14"/>
        <v>273.47799999999995</v>
      </c>
      <c r="J47" s="11">
        <f t="shared" si="14"/>
        <v>258.39900000000006</v>
      </c>
      <c r="K47" s="11">
        <f t="shared" si="14"/>
        <v>242.43600000000004</v>
      </c>
    </row>
    <row r="48" spans="1:14" x14ac:dyDescent="0.2">
      <c r="A48" s="1" t="s">
        <v>7</v>
      </c>
      <c r="B48" s="11">
        <f t="shared" ref="B48:K48" si="15">+SUM(B37:E37)</f>
        <v>248.779</v>
      </c>
      <c r="C48" s="11">
        <f t="shared" si="15"/>
        <v>250.41000000000003</v>
      </c>
      <c r="D48" s="11">
        <f t="shared" si="15"/>
        <v>250.28</v>
      </c>
      <c r="E48" s="11">
        <f t="shared" si="15"/>
        <v>215.50900000000001</v>
      </c>
      <c r="F48" s="11">
        <f t="shared" si="15"/>
        <v>181.626</v>
      </c>
      <c r="G48" s="11">
        <f t="shared" si="15"/>
        <v>171.03799999999998</v>
      </c>
      <c r="H48" s="11">
        <f t="shared" si="15"/>
        <v>134.29699999999997</v>
      </c>
      <c r="I48" s="11">
        <f t="shared" si="15"/>
        <v>82.116</v>
      </c>
      <c r="J48" s="11">
        <f t="shared" si="15"/>
        <v>84.703000000000003</v>
      </c>
      <c r="K48" s="11">
        <f t="shared" si="15"/>
        <v>61.885000000000005</v>
      </c>
    </row>
    <row r="50" spans="1:14" s="10" customFormat="1" x14ac:dyDescent="0.2">
      <c r="A50" s="10" t="s">
        <v>6</v>
      </c>
      <c r="B50" s="10">
        <f t="shared" ref="B50" si="16">+SUM(B39:B40)/B47</f>
        <v>3.2877736299372056</v>
      </c>
      <c r="C50" s="10">
        <f t="shared" ref="C50:D50" si="17">+SUM(C39:C40)/C47</f>
        <v>3.4866953960801279</v>
      </c>
      <c r="D50" s="10">
        <f t="shared" si="17"/>
        <v>3.7612631230883689</v>
      </c>
      <c r="E50" s="10">
        <f t="shared" ref="E50:K50" si="18">+SUM(E39:E40)/E47</f>
        <v>4.1065391387001648</v>
      </c>
      <c r="F50" s="10">
        <f t="shared" si="18"/>
        <v>4.6409835919730256</v>
      </c>
      <c r="G50" s="10">
        <f t="shared" si="18"/>
        <v>5.8845875972820467</v>
      </c>
      <c r="H50" s="10">
        <f t="shared" si="18"/>
        <v>6.4691273844261508</v>
      </c>
      <c r="I50" s="10">
        <f t="shared" si="18"/>
        <v>7.3717081447136525</v>
      </c>
      <c r="J50" s="10">
        <f t="shared" si="18"/>
        <v>7.8222051942925459</v>
      </c>
      <c r="K50" s="10">
        <f t="shared" si="18"/>
        <v>8.3589070930059872</v>
      </c>
    </row>
    <row r="51" spans="1:14" s="10" customFormat="1" x14ac:dyDescent="0.2">
      <c r="A51" s="10" t="s">
        <v>5</v>
      </c>
      <c r="B51" s="10">
        <f t="shared" ref="B51" si="19">+B41/B47</f>
        <v>3.953202598721933</v>
      </c>
      <c r="C51" s="10">
        <f t="shared" ref="C51:K51" si="20">+C41/C47</f>
        <v>4.1923851372331304</v>
      </c>
      <c r="D51" s="10">
        <f t="shared" si="20"/>
        <v>4.5127642465825488</v>
      </c>
      <c r="E51" s="10">
        <f t="shared" si="20"/>
        <v>4.9166405633985368</v>
      </c>
      <c r="F51" s="10">
        <f t="shared" si="20"/>
        <v>5.5306290089646604</v>
      </c>
      <c r="G51" s="10">
        <f t="shared" si="20"/>
        <v>5.8845875972820467</v>
      </c>
      <c r="H51" s="10">
        <f t="shared" si="20"/>
        <v>6.4691273844261508</v>
      </c>
      <c r="I51" s="10">
        <f t="shared" si="20"/>
        <v>7.3717081447136525</v>
      </c>
      <c r="J51" s="10">
        <f t="shared" si="20"/>
        <v>7.8222051942925459</v>
      </c>
      <c r="K51" s="10">
        <f t="shared" si="20"/>
        <v>8.3589070930059872</v>
      </c>
    </row>
    <row r="52" spans="1:14" s="10" customFormat="1" x14ac:dyDescent="0.2">
      <c r="A52" s="10" t="s">
        <v>4</v>
      </c>
      <c r="B52" s="10">
        <f t="shared" ref="B52" si="21">+(B41-B44)/B47</f>
        <v>3.4275713838926265</v>
      </c>
      <c r="C52" s="10">
        <f t="shared" ref="C52:K52" si="22">+(C41-C44)/C47</f>
        <v>3.6754203558558127</v>
      </c>
      <c r="D52" s="10">
        <f t="shared" si="22"/>
        <v>4.0925373433433281</v>
      </c>
      <c r="E52" s="10">
        <f t="shared" si="22"/>
        <v>4.59904029984554</v>
      </c>
      <c r="F52" s="10">
        <f t="shared" si="22"/>
        <v>5.284333640755249</v>
      </c>
      <c r="G52" s="10">
        <f t="shared" si="22"/>
        <v>5.3412195426791165</v>
      </c>
      <c r="H52" s="10">
        <f t="shared" si="22"/>
        <v>6.1198638951002913</v>
      </c>
      <c r="I52" s="10">
        <f t="shared" si="22"/>
        <v>6.8773795332714158</v>
      </c>
      <c r="J52" s="10">
        <f t="shared" si="22"/>
        <v>7.4017082109450874</v>
      </c>
      <c r="K52" s="10">
        <f t="shared" si="22"/>
        <v>7.9500692966391124</v>
      </c>
    </row>
    <row r="53" spans="1:14" s="6" customFormat="1" x14ac:dyDescent="0.2">
      <c r="A53" s="6" t="s">
        <v>3</v>
      </c>
      <c r="B53" s="6">
        <f t="shared" ref="B53" si="23">+B48/B41</f>
        <v>0.13958703885537943</v>
      </c>
      <c r="C53" s="6">
        <f t="shared" ref="C53:K53" si="24">+C48/C41</f>
        <v>0.14050217421798289</v>
      </c>
      <c r="D53" s="6">
        <f t="shared" si="24"/>
        <v>0.1389286705523175</v>
      </c>
      <c r="E53" s="6">
        <f t="shared" si="24"/>
        <v>0.11836276259783057</v>
      </c>
      <c r="F53" s="6">
        <f t="shared" si="24"/>
        <v>9.7386595174262736E-2</v>
      </c>
      <c r="G53" s="6">
        <f t="shared" si="24"/>
        <v>8.8603004787643505E-2</v>
      </c>
      <c r="H53" s="6">
        <f t="shared" si="24"/>
        <v>6.9388356136072402E-2</v>
      </c>
      <c r="I53" s="6">
        <f t="shared" si="24"/>
        <v>4.0732142857142856E-2</v>
      </c>
      <c r="J53" s="6">
        <f t="shared" si="24"/>
        <v>4.1906246134817568E-2</v>
      </c>
      <c r="K53" s="6">
        <f t="shared" si="24"/>
        <v>3.053787318036023E-2</v>
      </c>
    </row>
    <row r="54" spans="1:14" s="6" customFormat="1" x14ac:dyDescent="0.2">
      <c r="A54" s="8" t="s">
        <v>2</v>
      </c>
      <c r="B54" s="9"/>
      <c r="C54" s="9"/>
      <c r="D54" s="9"/>
      <c r="E54" s="9"/>
      <c r="F54" s="9"/>
      <c r="G54" s="9"/>
      <c r="H54" s="9"/>
      <c r="I54" s="9"/>
      <c r="J54" s="9"/>
      <c r="K54" s="9"/>
      <c r="L54" s="8"/>
      <c r="M54" s="8"/>
      <c r="N54" s="8"/>
    </row>
    <row r="55" spans="1:14" s="6" customFormat="1" x14ac:dyDescent="0.2">
      <c r="A55" s="6" t="s">
        <v>1</v>
      </c>
      <c r="B55" s="7">
        <f t="shared" ref="B55" si="25">IF(B42=0,IF(B54="","","*"&amp;TEXT(B54,"0.0x")),(B41+B42-B44)/B47)</f>
        <v>8.1625170280167776</v>
      </c>
      <c r="C55" s="7">
        <f t="shared" ref="C55:K55" si="26">IF(C42=0,IF(C54="","","*"&amp;TEXT(C54,"0.0x")),(C41+C42-C44)/C47)</f>
        <v>13.962377205539189</v>
      </c>
      <c r="D55" s="7">
        <f t="shared" si="26"/>
        <v>15.656425826137712</v>
      </c>
      <c r="E55" s="7">
        <f t="shared" si="26"/>
        <v>17.369579177017961</v>
      </c>
      <c r="F55" s="7">
        <f t="shared" si="26"/>
        <v>13.780462471375657</v>
      </c>
      <c r="G55" s="7">
        <f t="shared" si="26"/>
        <v>19.913782212833148</v>
      </c>
      <c r="H55" s="7">
        <f t="shared" si="26"/>
        <v>13.312667005190841</v>
      </c>
      <c r="I55" s="7">
        <f t="shared" si="26"/>
        <v>10.5307801324421</v>
      </c>
      <c r="J55" s="7">
        <f t="shared" si="26"/>
        <v>13.044756784662477</v>
      </c>
      <c r="K55" s="7">
        <f t="shared" si="26"/>
        <v>9.5256430356052704</v>
      </c>
      <c r="L55" s="7" t="str">
        <f>IF(L42=0,IF(L54="","",CONCATENATE("* ",L54,"x")),(L41+L42-L44)/L47)</f>
        <v/>
      </c>
      <c r="M55" s="7" t="str">
        <f>IF(M42=0,IF(M54="","",CONCATENATE("* ",M54,"x")),(M41+M42-M44)/M47)</f>
        <v/>
      </c>
      <c r="N55" s="7" t="str">
        <f>IF(N42=0,IF(N54="","",CONCATENATE("* ",N54,"x")),(N41+N42-N44)/N47)</f>
        <v/>
      </c>
    </row>
    <row r="56" spans="1:14" x14ac:dyDescent="0.2">
      <c r="K56" s="3"/>
    </row>
    <row r="57" spans="1:14" ht="80.25" customHeight="1" x14ac:dyDescent="0.2">
      <c r="A57" s="5" t="s">
        <v>0</v>
      </c>
      <c r="B57" s="4" t="s">
        <v>279</v>
      </c>
      <c r="C57" s="4"/>
      <c r="D57" s="4"/>
      <c r="E57" s="4"/>
      <c r="F57" s="4"/>
      <c r="G57" s="4"/>
      <c r="H57" s="4"/>
      <c r="I57" s="4"/>
      <c r="J57" s="4"/>
      <c r="K57" s="4"/>
      <c r="L57" s="4"/>
      <c r="M57" s="4"/>
      <c r="N57" s="4"/>
    </row>
    <row r="58" spans="1:14" x14ac:dyDescent="0.2">
      <c r="A58" s="2"/>
      <c r="B58" s="3"/>
      <c r="C58" s="3"/>
      <c r="D58" s="3"/>
      <c r="E58" s="3"/>
      <c r="F58" s="3"/>
      <c r="G58" s="3"/>
    </row>
    <row r="59" spans="1:14" x14ac:dyDescent="0.2">
      <c r="A59" s="2"/>
    </row>
  </sheetData>
  <pageMargins left="0.7" right="0.7" top="0.75" bottom="0.75" header="0.3" footer="0.3"/>
  <pageSetup orientation="portrait" r:id="rId1"/>
  <ignoredErrors>
    <ignoredError sqref="G46:K49" formulaRange="1"/>
  </ignoredError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2:Y64"/>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2" width="10.7109375" style="1" customWidth="1"/>
    <col min="23" max="16384" width="9.140625" style="1"/>
  </cols>
  <sheetData>
    <row r="2" spans="1:22" x14ac:dyDescent="0.2">
      <c r="A2" s="34" t="s">
        <v>45</v>
      </c>
      <c r="B2" s="1" t="s">
        <v>95</v>
      </c>
    </row>
    <row r="3" spans="1:22" s="35" customFormat="1" x14ac:dyDescent="0.2">
      <c r="A3" s="36" t="s">
        <v>43</v>
      </c>
      <c r="B3" s="35" t="s">
        <v>128</v>
      </c>
    </row>
    <row r="4" spans="1:22" x14ac:dyDescent="0.2">
      <c r="A4" s="34" t="s">
        <v>41</v>
      </c>
      <c r="B4" s="1" t="s">
        <v>40</v>
      </c>
    </row>
    <row r="5" spans="1:22" x14ac:dyDescent="0.2">
      <c r="A5" s="34" t="s">
        <v>39</v>
      </c>
    </row>
    <row r="6" spans="1:22" x14ac:dyDescent="0.2">
      <c r="A6" s="34" t="s">
        <v>38</v>
      </c>
      <c r="B6" s="1">
        <v>3</v>
      </c>
    </row>
    <row r="7" spans="1:22" x14ac:dyDescent="0.2">
      <c r="A7" s="34" t="s">
        <v>37</v>
      </c>
      <c r="B7" s="1" t="s">
        <v>233</v>
      </c>
    </row>
    <row r="8" spans="1:22" x14ac:dyDescent="0.2">
      <c r="A8" s="34" t="s">
        <v>281</v>
      </c>
      <c r="B8" s="1" t="s">
        <v>292</v>
      </c>
    </row>
    <row r="9" spans="1:22" x14ac:dyDescent="0.2">
      <c r="A9" s="22"/>
    </row>
    <row r="10" spans="1:22" x14ac:dyDescent="0.2">
      <c r="A10" s="22" t="s">
        <v>36</v>
      </c>
      <c r="B10" s="33">
        <v>44196</v>
      </c>
      <c r="C10" s="33">
        <v>44104</v>
      </c>
      <c r="D10" s="33">
        <v>44012</v>
      </c>
      <c r="E10" s="33">
        <v>43951</v>
      </c>
      <c r="F10" s="33">
        <v>43830</v>
      </c>
      <c r="G10" s="33">
        <v>43738</v>
      </c>
      <c r="H10" s="33">
        <v>43646</v>
      </c>
      <c r="I10" s="33">
        <v>43585</v>
      </c>
      <c r="J10" s="33">
        <v>43465</v>
      </c>
      <c r="K10" s="33">
        <v>43373</v>
      </c>
      <c r="L10" s="33">
        <v>43281</v>
      </c>
      <c r="M10" s="33">
        <v>43190</v>
      </c>
      <c r="N10" s="33">
        <v>43100</v>
      </c>
      <c r="O10" s="33">
        <v>43008</v>
      </c>
      <c r="P10" s="33">
        <f t="shared" ref="P10:V10" si="0">EOMONTH(O10,-3)</f>
        <v>42916</v>
      </c>
      <c r="Q10" s="33">
        <f t="shared" si="0"/>
        <v>42825</v>
      </c>
      <c r="R10" s="33">
        <f t="shared" si="0"/>
        <v>42735</v>
      </c>
      <c r="S10" s="33">
        <f t="shared" si="0"/>
        <v>42643</v>
      </c>
      <c r="T10" s="33">
        <f t="shared" si="0"/>
        <v>42551</v>
      </c>
      <c r="U10" s="33">
        <f t="shared" si="0"/>
        <v>42460</v>
      </c>
      <c r="V10" s="33">
        <f t="shared" si="0"/>
        <v>42369</v>
      </c>
    </row>
    <row r="11" spans="1:22" x14ac:dyDescent="0.2">
      <c r="B11" s="11"/>
      <c r="C11" s="11"/>
      <c r="D11" s="11"/>
      <c r="E11" s="11"/>
      <c r="F11" s="11"/>
      <c r="G11" s="11"/>
      <c r="H11" s="11"/>
      <c r="I11" s="11"/>
      <c r="J11" s="11"/>
      <c r="K11" s="11"/>
      <c r="L11" s="56"/>
      <c r="P11" s="56"/>
    </row>
    <row r="12" spans="1:22" x14ac:dyDescent="0.2">
      <c r="A12" s="15" t="s">
        <v>35</v>
      </c>
      <c r="B12" s="19">
        <v>1.6</v>
      </c>
      <c r="C12" s="19">
        <v>6.2</v>
      </c>
      <c r="D12" s="19">
        <f>344.98-E12-F12-G12</f>
        <v>61.200000000000017</v>
      </c>
      <c r="E12" s="19">
        <v>115.5</v>
      </c>
      <c r="F12" s="19">
        <v>54.216000000000001</v>
      </c>
      <c r="G12" s="19">
        <v>114.06399999999999</v>
      </c>
      <c r="H12" s="19">
        <v>256.39600000000007</v>
      </c>
      <c r="I12" s="19">
        <v>279.72699999999998</v>
      </c>
      <c r="J12" s="19">
        <v>51.1</v>
      </c>
      <c r="K12" s="19">
        <v>63.183</v>
      </c>
      <c r="L12" s="19">
        <v>223.69800000000001</v>
      </c>
      <c r="M12" s="19">
        <v>260.96099999999996</v>
      </c>
      <c r="N12" s="19">
        <v>51.118000000000002</v>
      </c>
      <c r="O12" s="19">
        <v>67.085999999999999</v>
      </c>
      <c r="P12" s="19">
        <v>203.87599999999998</v>
      </c>
      <c r="Q12" s="19">
        <v>266.69099999999997</v>
      </c>
      <c r="R12" s="19">
        <v>49.005000000000003</v>
      </c>
      <c r="S12" s="19">
        <v>63.182000000000002</v>
      </c>
      <c r="T12" s="19">
        <v>195.49299999999999</v>
      </c>
      <c r="U12" s="19">
        <v>244.053</v>
      </c>
      <c r="V12" s="19">
        <v>39.563000000000002</v>
      </c>
    </row>
    <row r="13" spans="1:22" s="28" customFormat="1" x14ac:dyDescent="0.2">
      <c r="A13" s="28" t="s">
        <v>34</v>
      </c>
      <c r="B13" s="28">
        <f t="shared" ref="B13:R13" si="1">+B12/F12-1</f>
        <v>-0.97048841670355612</v>
      </c>
      <c r="C13" s="28">
        <f t="shared" si="1"/>
        <v>-0.94564455042783002</v>
      </c>
      <c r="D13" s="28">
        <f t="shared" si="1"/>
        <v>-0.7613067286541132</v>
      </c>
      <c r="E13" s="28">
        <f t="shared" si="1"/>
        <v>-0.58709741998448484</v>
      </c>
      <c r="F13" s="28">
        <f t="shared" si="1"/>
        <v>6.0978473581213333E-2</v>
      </c>
      <c r="G13" s="28">
        <f t="shared" si="1"/>
        <v>0.80529572828134133</v>
      </c>
      <c r="H13" s="28">
        <f t="shared" si="1"/>
        <v>0.14617028314960367</v>
      </c>
      <c r="I13" s="28">
        <f t="shared" si="1"/>
        <v>7.1911128482800235E-2</v>
      </c>
      <c r="J13" s="28">
        <f t="shared" si="1"/>
        <v>-3.5212645252158392E-4</v>
      </c>
      <c r="K13" s="28">
        <f t="shared" si="1"/>
        <v>-5.8179053751900578E-2</v>
      </c>
      <c r="L13" s="28">
        <f t="shared" si="1"/>
        <v>9.7225764680492155E-2</v>
      </c>
      <c r="M13" s="28">
        <f t="shared" si="1"/>
        <v>-2.1485539444525803E-2</v>
      </c>
      <c r="N13" s="28">
        <f t="shared" si="1"/>
        <v>4.3118049178655138E-2</v>
      </c>
      <c r="O13" s="28">
        <f t="shared" si="1"/>
        <v>6.1789750245323072E-2</v>
      </c>
      <c r="P13" s="28">
        <f t="shared" si="1"/>
        <v>4.2881330789337646E-2</v>
      </c>
      <c r="Q13" s="28">
        <f t="shared" si="1"/>
        <v>9.2758540153163427E-2</v>
      </c>
      <c r="R13" s="28">
        <f t="shared" si="1"/>
        <v>0.2386573313449436</v>
      </c>
    </row>
    <row r="14" spans="1:22"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1"/>
      <c r="T14" s="31"/>
      <c r="U14" s="31"/>
      <c r="V14" s="31"/>
    </row>
    <row r="15" spans="1:22" x14ac:dyDescent="0.2">
      <c r="B15" s="11"/>
      <c r="C15" s="11"/>
      <c r="D15" s="11"/>
      <c r="E15" s="11"/>
      <c r="F15" s="11"/>
      <c r="G15" s="11"/>
      <c r="H15" s="11"/>
      <c r="I15" s="11"/>
      <c r="J15" s="11"/>
      <c r="K15" s="11"/>
    </row>
    <row r="16" spans="1:22" s="22" customFormat="1" x14ac:dyDescent="0.2">
      <c r="A16" s="30" t="s">
        <v>31</v>
      </c>
      <c r="B16" s="29">
        <v>-19</v>
      </c>
      <c r="C16" s="29">
        <v>32.1</v>
      </c>
      <c r="D16" s="29"/>
      <c r="E16" s="29">
        <v>2.4</v>
      </c>
      <c r="F16" s="29">
        <v>-33.200000000000003</v>
      </c>
      <c r="G16" s="29">
        <v>4.0999999999999996</v>
      </c>
      <c r="H16" s="29">
        <v>0.70000000000000284</v>
      </c>
      <c r="I16" s="29">
        <v>40.299999999999997</v>
      </c>
      <c r="J16" s="29">
        <v>16.599999999999998</v>
      </c>
      <c r="K16" s="29">
        <v>20.299999999999997</v>
      </c>
      <c r="L16" s="29">
        <v>4.3910000000001119</v>
      </c>
      <c r="M16" s="29">
        <v>48.308999999999955</v>
      </c>
      <c r="N16" s="29">
        <v>21.299999999999997</v>
      </c>
      <c r="O16" s="29">
        <v>-0.80000000000000071</v>
      </c>
      <c r="P16" s="29">
        <v>51.585999999999984</v>
      </c>
      <c r="Q16" s="29">
        <v>45.338999999999977</v>
      </c>
      <c r="R16" s="29">
        <v>-15.024000000000001</v>
      </c>
      <c r="S16" s="29">
        <v>-11.684000000000001</v>
      </c>
      <c r="T16" s="29">
        <v>35.032000000000011</v>
      </c>
      <c r="U16" s="29">
        <v>34.229000000000013</v>
      </c>
      <c r="V16" s="29">
        <v>-18.891100000000002</v>
      </c>
    </row>
    <row r="17" spans="1:22" s="28" customFormat="1" x14ac:dyDescent="0.2">
      <c r="A17" s="28" t="s">
        <v>30</v>
      </c>
      <c r="B17" s="135" t="s">
        <v>615</v>
      </c>
      <c r="C17" s="135" t="s">
        <v>615</v>
      </c>
      <c r="E17" s="28">
        <f t="shared" ref="E17" si="2">+E16/E12</f>
        <v>2.0779220779220779E-2</v>
      </c>
      <c r="F17" s="28">
        <f t="shared" ref="F17:G17" si="3">+F16/F12</f>
        <v>-0.61236535340121001</v>
      </c>
      <c r="G17" s="28">
        <f t="shared" si="3"/>
        <v>3.5944732781596295E-2</v>
      </c>
      <c r="H17" s="28">
        <f t="shared" ref="H17:I17" si="4">+H16/H12</f>
        <v>2.7301517964398924E-3</v>
      </c>
      <c r="I17" s="28">
        <f t="shared" si="4"/>
        <v>0.14406903874134425</v>
      </c>
      <c r="J17" s="28">
        <f t="shared" ref="J17:V17" si="5">+J16/J12</f>
        <v>0.32485322896281793</v>
      </c>
      <c r="K17" s="28">
        <f t="shared" si="5"/>
        <v>0.32128895430732946</v>
      </c>
      <c r="L17" s="28">
        <f t="shared" si="5"/>
        <v>1.9629142862252286E-2</v>
      </c>
      <c r="M17" s="28">
        <f t="shared" si="5"/>
        <v>0.18511961557474091</v>
      </c>
      <c r="N17" s="28">
        <f t="shared" si="5"/>
        <v>0.41668296881724631</v>
      </c>
      <c r="O17" s="28">
        <f t="shared" si="5"/>
        <v>-1.1924991801568148E-2</v>
      </c>
      <c r="P17" s="28">
        <f t="shared" si="5"/>
        <v>0.25302634934960461</v>
      </c>
      <c r="Q17" s="28">
        <f t="shared" si="5"/>
        <v>0.17000573697650082</v>
      </c>
      <c r="R17" s="28">
        <f t="shared" si="5"/>
        <v>-0.3065809611264157</v>
      </c>
      <c r="S17" s="28">
        <f t="shared" si="5"/>
        <v>-0.18492608654363585</v>
      </c>
      <c r="T17" s="28">
        <f t="shared" si="5"/>
        <v>0.17919823216176545</v>
      </c>
      <c r="U17" s="28">
        <f t="shared" si="5"/>
        <v>0.1402523222414804</v>
      </c>
      <c r="V17" s="28">
        <f t="shared" si="5"/>
        <v>-0.47749412329701996</v>
      </c>
    </row>
    <row r="18" spans="1:22" s="23" customFormat="1" x14ac:dyDescent="0.2"/>
    <row r="19" spans="1:22" s="23" customFormat="1" x14ac:dyDescent="0.2">
      <c r="A19" s="15" t="s">
        <v>29</v>
      </c>
      <c r="B19" s="19">
        <v>0</v>
      </c>
      <c r="C19" s="19">
        <v>0</v>
      </c>
      <c r="D19" s="19"/>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row>
    <row r="20" spans="1:22" s="23" customFormat="1" x14ac:dyDescent="0.2">
      <c r="A20" s="15" t="s">
        <v>28</v>
      </c>
      <c r="B20" s="19">
        <v>0</v>
      </c>
      <c r="C20" s="19">
        <v>0</v>
      </c>
      <c r="D20" s="19"/>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row>
    <row r="21" spans="1:22" s="23" customFormat="1" x14ac:dyDescent="0.2">
      <c r="A21" s="15" t="s">
        <v>18</v>
      </c>
      <c r="B21" s="19">
        <v>0</v>
      </c>
      <c r="C21" s="19">
        <v>0</v>
      </c>
      <c r="D21" s="19"/>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row>
    <row r="22" spans="1:22" s="22" customFormat="1" x14ac:dyDescent="0.2">
      <c r="A22" s="22" t="s">
        <v>23</v>
      </c>
      <c r="B22" s="20">
        <f t="shared" ref="B22" si="6">B16+B19+B20+B21</f>
        <v>-19</v>
      </c>
      <c r="C22" s="20">
        <f t="shared" ref="C22" si="7">C16+C19+C20+C21</f>
        <v>32.1</v>
      </c>
      <c r="D22" s="20"/>
      <c r="E22" s="20">
        <f t="shared" ref="E22" si="8">E16+E19+E20+E21</f>
        <v>2.4</v>
      </c>
      <c r="F22" s="20">
        <f t="shared" ref="F22:G22" si="9">F16+F19+F20+F21</f>
        <v>-33.200000000000003</v>
      </c>
      <c r="G22" s="20">
        <f t="shared" si="9"/>
        <v>4.0999999999999996</v>
      </c>
      <c r="H22" s="20">
        <f t="shared" ref="H22:I22" si="10">H16+H19+H20+H21</f>
        <v>0.70000000000000284</v>
      </c>
      <c r="I22" s="20">
        <f t="shared" si="10"/>
        <v>40.299999999999997</v>
      </c>
      <c r="J22" s="20">
        <f t="shared" ref="J22:S22" si="11">J16+J19+J20+J21</f>
        <v>16.599999999999998</v>
      </c>
      <c r="K22" s="20">
        <f t="shared" si="11"/>
        <v>20.299999999999997</v>
      </c>
      <c r="L22" s="20">
        <f t="shared" si="11"/>
        <v>4.3910000000001119</v>
      </c>
      <c r="M22" s="20">
        <f t="shared" si="11"/>
        <v>48.308999999999955</v>
      </c>
      <c r="N22" s="20">
        <f t="shared" si="11"/>
        <v>21.299999999999997</v>
      </c>
      <c r="O22" s="20">
        <f t="shared" si="11"/>
        <v>-0.80000000000000071</v>
      </c>
      <c r="P22" s="20">
        <f t="shared" si="11"/>
        <v>51.585999999999984</v>
      </c>
      <c r="Q22" s="20">
        <f t="shared" si="11"/>
        <v>45.338999999999977</v>
      </c>
      <c r="R22" s="20">
        <f t="shared" si="11"/>
        <v>-15.024000000000001</v>
      </c>
      <c r="S22" s="20">
        <f t="shared" si="11"/>
        <v>-11.684000000000001</v>
      </c>
      <c r="T22" s="20">
        <f t="shared" ref="T22:V22" si="12">SUM(T16,T19:T21)</f>
        <v>35.032000000000011</v>
      </c>
      <c r="U22" s="20">
        <f t="shared" si="12"/>
        <v>34.229000000000013</v>
      </c>
      <c r="V22" s="20">
        <f t="shared" si="12"/>
        <v>-18.891100000000002</v>
      </c>
    </row>
    <row r="23" spans="1:22" s="22" customFormat="1" x14ac:dyDescent="0.2">
      <c r="B23" s="20"/>
      <c r="C23" s="20"/>
      <c r="D23" s="20"/>
      <c r="E23" s="20"/>
      <c r="F23" s="20"/>
      <c r="G23" s="20"/>
      <c r="H23" s="20"/>
      <c r="I23" s="20"/>
      <c r="J23" s="20"/>
      <c r="K23" s="20"/>
      <c r="L23" s="20"/>
      <c r="M23" s="20"/>
      <c r="N23" s="20"/>
      <c r="O23" s="20"/>
      <c r="P23" s="20"/>
      <c r="Q23" s="20"/>
      <c r="R23" s="20"/>
      <c r="S23" s="20"/>
      <c r="T23" s="20"/>
      <c r="U23" s="20"/>
      <c r="V23" s="20"/>
    </row>
    <row r="24" spans="1:22" s="22" customFormat="1" x14ac:dyDescent="0.2">
      <c r="A24" s="22" t="s">
        <v>27</v>
      </c>
      <c r="B24" s="61">
        <v>32.9</v>
      </c>
      <c r="C24" s="61">
        <v>24.7</v>
      </c>
      <c r="D24" s="61"/>
      <c r="E24" s="61">
        <v>48.3</v>
      </c>
      <c r="F24" s="20">
        <f t="shared" ref="F24:S24" si="13">SUM(F22:I22)</f>
        <v>11.899999999999999</v>
      </c>
      <c r="G24" s="20">
        <f t="shared" si="13"/>
        <v>61.7</v>
      </c>
      <c r="H24" s="20">
        <f t="shared" si="13"/>
        <v>77.899999999999991</v>
      </c>
      <c r="I24" s="20">
        <f t="shared" si="13"/>
        <v>81.591000000000093</v>
      </c>
      <c r="J24" s="20">
        <f t="shared" si="13"/>
        <v>89.600000000000051</v>
      </c>
      <c r="K24" s="20">
        <f t="shared" si="13"/>
        <v>94.300000000000054</v>
      </c>
      <c r="L24" s="20">
        <f t="shared" si="13"/>
        <v>73.20000000000006</v>
      </c>
      <c r="M24" s="20">
        <f t="shared" si="13"/>
        <v>120.39499999999994</v>
      </c>
      <c r="N24" s="20">
        <f t="shared" si="13"/>
        <v>117.42499999999995</v>
      </c>
      <c r="O24" s="20">
        <f t="shared" si="13"/>
        <v>81.100999999999971</v>
      </c>
      <c r="P24" s="20">
        <f t="shared" si="13"/>
        <v>70.216999999999956</v>
      </c>
      <c r="Q24" s="20">
        <f t="shared" si="13"/>
        <v>53.662999999999982</v>
      </c>
      <c r="R24" s="20">
        <f t="shared" si="13"/>
        <v>42.553000000000026</v>
      </c>
      <c r="S24" s="20">
        <f t="shared" si="13"/>
        <v>38.685900000000025</v>
      </c>
      <c r="T24" s="20"/>
      <c r="U24" s="20"/>
      <c r="V24" s="20"/>
    </row>
    <row r="25" spans="1:22" s="23" customFormat="1" x14ac:dyDescent="0.2">
      <c r="A25" s="15" t="s">
        <v>26</v>
      </c>
      <c r="B25" s="27"/>
      <c r="C25" s="27">
        <v>17.899999999999999</v>
      </c>
      <c r="D25" s="27"/>
      <c r="E25" s="27">
        <f>97.1-E24</f>
        <v>48.8</v>
      </c>
      <c r="F25" s="27">
        <f>101.1-F24</f>
        <v>89.199999999999989</v>
      </c>
      <c r="G25" s="27">
        <f>87.5-G24</f>
        <v>25.799999999999997</v>
      </c>
      <c r="H25" s="27">
        <v>0</v>
      </c>
      <c r="I25" s="27">
        <v>0</v>
      </c>
      <c r="J25" s="27">
        <v>0</v>
      </c>
      <c r="K25" s="27">
        <v>0</v>
      </c>
      <c r="L25" s="27">
        <f>85.4-L26-L24</f>
        <v>6.331999999999951</v>
      </c>
      <c r="M25" s="27">
        <v>0</v>
      </c>
      <c r="N25" s="27">
        <v>0</v>
      </c>
      <c r="O25" s="27">
        <v>0</v>
      </c>
      <c r="P25" s="27">
        <v>0</v>
      </c>
      <c r="Q25" s="27">
        <v>0</v>
      </c>
      <c r="R25" s="27">
        <v>0</v>
      </c>
      <c r="S25" s="27">
        <v>0</v>
      </c>
      <c r="T25" s="27"/>
      <c r="U25" s="27"/>
      <c r="V25" s="27"/>
    </row>
    <row r="26" spans="1:22" s="23" customFormat="1" x14ac:dyDescent="0.2">
      <c r="A26" s="15" t="s">
        <v>25</v>
      </c>
      <c r="B26" s="21">
        <v>0</v>
      </c>
      <c r="C26" s="21">
        <v>0</v>
      </c>
      <c r="D26" s="21"/>
      <c r="E26" s="21">
        <v>0</v>
      </c>
      <c r="F26" s="21">
        <v>0</v>
      </c>
      <c r="G26" s="21">
        <f>H26</f>
        <v>16.600000000000009</v>
      </c>
      <c r="H26" s="21">
        <f>94.5-H25-H24</f>
        <v>16.600000000000009</v>
      </c>
      <c r="I26" s="21">
        <f>91.4-I25-I24</f>
        <v>9.8089999999999122</v>
      </c>
      <c r="J26" s="21">
        <f>85.7-J25-J24</f>
        <v>-3.9000000000000483</v>
      </c>
      <c r="K26" s="21">
        <f>82.4-K25-K24</f>
        <v>-11.900000000000048</v>
      </c>
      <c r="L26" s="21">
        <v>5.8680000000000003</v>
      </c>
      <c r="M26" s="21">
        <v>0</v>
      </c>
      <c r="N26" s="21">
        <v>0</v>
      </c>
      <c r="O26" s="21">
        <v>0</v>
      </c>
      <c r="P26" s="21">
        <v>0</v>
      </c>
      <c r="Q26" s="21">
        <v>0</v>
      </c>
      <c r="R26" s="21">
        <v>0</v>
      </c>
      <c r="S26" s="21">
        <v>0</v>
      </c>
      <c r="T26" s="26"/>
      <c r="U26" s="26"/>
      <c r="V26" s="26"/>
    </row>
    <row r="27" spans="1:22" s="24" customFormat="1" x14ac:dyDescent="0.2">
      <c r="A27" s="22" t="s">
        <v>24</v>
      </c>
      <c r="B27" s="20">
        <f>B24+B25+B26</f>
        <v>32.9</v>
      </c>
      <c r="C27" s="20">
        <f>C24+C25+C26</f>
        <v>42.599999999999994</v>
      </c>
      <c r="D27" s="20"/>
      <c r="E27" s="20">
        <f t="shared" ref="E27" si="14">SUM(E24:E26)</f>
        <v>97.1</v>
      </c>
      <c r="F27" s="20">
        <f t="shared" ref="F27:G27" si="15">SUM(F24:F26)</f>
        <v>101.1</v>
      </c>
      <c r="G27" s="20">
        <f t="shared" si="15"/>
        <v>104.10000000000001</v>
      </c>
      <c r="H27" s="20">
        <f t="shared" ref="H27:S27" si="16">SUM(H24:H26)</f>
        <v>94.5</v>
      </c>
      <c r="I27" s="20">
        <f t="shared" si="16"/>
        <v>91.4</v>
      </c>
      <c r="J27" s="20">
        <f t="shared" si="16"/>
        <v>85.7</v>
      </c>
      <c r="K27" s="20">
        <f t="shared" si="16"/>
        <v>82.4</v>
      </c>
      <c r="L27" s="20">
        <f t="shared" si="16"/>
        <v>85.4</v>
      </c>
      <c r="M27" s="20">
        <f t="shared" si="16"/>
        <v>120.39499999999994</v>
      </c>
      <c r="N27" s="20">
        <f t="shared" si="16"/>
        <v>117.42499999999995</v>
      </c>
      <c r="O27" s="20">
        <f t="shared" si="16"/>
        <v>81.100999999999971</v>
      </c>
      <c r="P27" s="20">
        <f t="shared" si="16"/>
        <v>70.216999999999956</v>
      </c>
      <c r="Q27" s="20">
        <f t="shared" si="16"/>
        <v>53.662999999999982</v>
      </c>
      <c r="R27" s="20">
        <f t="shared" si="16"/>
        <v>42.553000000000026</v>
      </c>
      <c r="S27" s="20">
        <f t="shared" si="16"/>
        <v>38.685900000000025</v>
      </c>
      <c r="T27" s="25"/>
      <c r="U27" s="25"/>
      <c r="V27" s="25"/>
    </row>
    <row r="28" spans="1:22" s="23" customFormat="1" x14ac:dyDescent="0.2">
      <c r="N28" s="113"/>
    </row>
    <row r="29" spans="1:22" s="22" customFormat="1" x14ac:dyDescent="0.2">
      <c r="A29" s="22" t="s">
        <v>23</v>
      </c>
      <c r="B29" s="20">
        <f t="shared" ref="B29" si="17">B22</f>
        <v>-19</v>
      </c>
      <c r="C29" s="20">
        <f t="shared" ref="C29:G29" si="18">C22</f>
        <v>32.1</v>
      </c>
      <c r="D29" s="20">
        <f t="shared" si="18"/>
        <v>0</v>
      </c>
      <c r="E29" s="20">
        <f t="shared" si="18"/>
        <v>2.4</v>
      </c>
      <c r="F29" s="20">
        <f t="shared" si="18"/>
        <v>-33.200000000000003</v>
      </c>
      <c r="G29" s="20">
        <f t="shared" si="18"/>
        <v>4.0999999999999996</v>
      </c>
      <c r="H29" s="20">
        <f t="shared" ref="H29:V29" si="19">H22</f>
        <v>0.70000000000000284</v>
      </c>
      <c r="I29" s="20">
        <f t="shared" si="19"/>
        <v>40.299999999999997</v>
      </c>
      <c r="J29" s="20">
        <f t="shared" si="19"/>
        <v>16.599999999999998</v>
      </c>
      <c r="K29" s="20">
        <f t="shared" si="19"/>
        <v>20.299999999999997</v>
      </c>
      <c r="L29" s="20">
        <f t="shared" si="19"/>
        <v>4.3910000000001119</v>
      </c>
      <c r="M29" s="20">
        <f t="shared" si="19"/>
        <v>48.308999999999955</v>
      </c>
      <c r="N29" s="20">
        <f t="shared" si="19"/>
        <v>21.299999999999997</v>
      </c>
      <c r="O29" s="20">
        <f t="shared" si="19"/>
        <v>-0.80000000000000071</v>
      </c>
      <c r="P29" s="20">
        <f t="shared" si="19"/>
        <v>51.585999999999984</v>
      </c>
      <c r="Q29" s="20">
        <f t="shared" si="19"/>
        <v>45.338999999999977</v>
      </c>
      <c r="R29" s="20">
        <f t="shared" si="19"/>
        <v>-15.024000000000001</v>
      </c>
      <c r="S29" s="20">
        <f t="shared" si="19"/>
        <v>-11.684000000000001</v>
      </c>
      <c r="T29" s="20">
        <f t="shared" si="19"/>
        <v>35.032000000000011</v>
      </c>
      <c r="U29" s="20">
        <f t="shared" si="19"/>
        <v>34.229000000000013</v>
      </c>
      <c r="V29" s="20">
        <f t="shared" si="19"/>
        <v>-18.891100000000002</v>
      </c>
    </row>
    <row r="30" spans="1:22" s="11" customFormat="1" x14ac:dyDescent="0.2">
      <c r="A30" s="19" t="s">
        <v>22</v>
      </c>
      <c r="B30" s="19"/>
      <c r="C30" s="19">
        <v>-13.44</v>
      </c>
      <c r="D30" s="19">
        <f>-42.075-E30-F30-G30</f>
        <v>-8.9820000000000029</v>
      </c>
      <c r="E30" s="19">
        <v>-12.589</v>
      </c>
      <c r="F30" s="19">
        <v>-10.67</v>
      </c>
      <c r="G30" s="19">
        <v>-9.8339999999999996</v>
      </c>
      <c r="H30" s="19">
        <v>-9.4369999999999976</v>
      </c>
      <c r="I30" s="19">
        <v>-12.365</v>
      </c>
      <c r="J30" s="19">
        <v>-9.81</v>
      </c>
      <c r="K30" s="19">
        <v>-9.2880000000000003</v>
      </c>
      <c r="L30" s="19">
        <v>-3.1330000000000027</v>
      </c>
      <c r="M30" s="19">
        <v>-8.9640000000000004</v>
      </c>
      <c r="N30" s="19">
        <v>-8.2070000000000007</v>
      </c>
      <c r="O30" s="19">
        <v>-8.8330000000000002</v>
      </c>
      <c r="P30" s="19">
        <v>-5.468</v>
      </c>
      <c r="Q30" s="19">
        <v>-10.35</v>
      </c>
      <c r="R30" s="19">
        <v>-8.4359999999999999</v>
      </c>
      <c r="S30" s="19">
        <v>-8.6240000000000006</v>
      </c>
      <c r="T30" s="19">
        <v>-6.0439999999999996</v>
      </c>
      <c r="U30" s="19">
        <v>-9.2829999999999995</v>
      </c>
      <c r="V30" s="19">
        <v>-6.9909999999999997</v>
      </c>
    </row>
    <row r="31" spans="1:22" s="11" customFormat="1" x14ac:dyDescent="0.2">
      <c r="A31" s="19" t="s">
        <v>21</v>
      </c>
      <c r="B31" s="19"/>
      <c r="C31" s="19">
        <v>-5.1999999999999998E-2</v>
      </c>
      <c r="D31" s="19">
        <f>7.627-E31-F31-G31</f>
        <v>6.0650000000000004</v>
      </c>
      <c r="E31" s="19">
        <v>-7.6999999999999999E-2</v>
      </c>
      <c r="F31" s="19">
        <v>1.996</v>
      </c>
      <c r="G31" s="19">
        <v>-0.35699999999999998</v>
      </c>
      <c r="H31" s="19">
        <v>-1.2220000000000004</v>
      </c>
      <c r="I31" s="19">
        <v>0.35199999999999998</v>
      </c>
      <c r="J31" s="19">
        <v>8.5489999999999995</v>
      </c>
      <c r="K31" s="19">
        <v>-0.14199999999999999</v>
      </c>
      <c r="L31" s="19">
        <v>-2.3559999999999994</v>
      </c>
      <c r="M31" s="19">
        <v>-1.6E-2</v>
      </c>
      <c r="N31" s="19">
        <v>-3.1390000000000002</v>
      </c>
      <c r="O31" s="19">
        <v>-0.435</v>
      </c>
      <c r="P31" s="19">
        <v>0.66100000000000003</v>
      </c>
      <c r="Q31" s="19">
        <v>-2.4E-2</v>
      </c>
      <c r="R31" s="19">
        <v>9.0999999999999998E-2</v>
      </c>
      <c r="S31" s="19">
        <v>-0.77100000000000002</v>
      </c>
      <c r="T31" s="19">
        <v>-3.9750000000000001</v>
      </c>
      <c r="U31" s="19">
        <v>-0.155</v>
      </c>
      <c r="V31" s="19">
        <v>0.221</v>
      </c>
    </row>
    <row r="32" spans="1:22" s="11" customFormat="1" x14ac:dyDescent="0.2">
      <c r="A32" s="19" t="s">
        <v>20</v>
      </c>
      <c r="B32" s="19"/>
      <c r="C32" s="19">
        <f>85.798+3.62-14.594-138.393+2.049</f>
        <v>-61.519999999999989</v>
      </c>
      <c r="D32" s="19">
        <f>7.614+15.779+35.614-3.836+115.651-0.022-E32-F32-G32</f>
        <v>-76.742999999999981</v>
      </c>
      <c r="E32" s="19">
        <f>2.809-13.483+3.828-1.777+141.914+2.662</f>
        <v>135.953</v>
      </c>
      <c r="F32" s="19">
        <v>140.25299999999999</v>
      </c>
      <c r="G32" s="19">
        <f>-4.738+11.859-44.127+8.394-0.051</f>
        <v>-28.663</v>
      </c>
      <c r="H32" s="19">
        <v>-121.22500000000001</v>
      </c>
      <c r="I32" s="19">
        <f>1.355-29.979+37.455-19.69+30.474+2.293</f>
        <v>21.907999999999998</v>
      </c>
      <c r="J32" s="19">
        <v>114.084</v>
      </c>
      <c r="K32" s="19">
        <v>-0.80600000000000205</v>
      </c>
      <c r="L32" s="19">
        <v>-115.99599999999997</v>
      </c>
      <c r="M32" s="19">
        <v>3.8349999999999991</v>
      </c>
      <c r="N32" s="19">
        <v>99.39800000000001</v>
      </c>
      <c r="O32" s="19">
        <v>5.9920000000000009</v>
      </c>
      <c r="P32" s="19">
        <v>-103.083</v>
      </c>
      <c r="Q32" s="19">
        <v>22.939000000000004</v>
      </c>
      <c r="R32" s="19">
        <v>81.045999999999992</v>
      </c>
      <c r="S32" s="19">
        <v>2.5829999999999993</v>
      </c>
      <c r="T32" s="19">
        <v>-60.563000000000002</v>
      </c>
      <c r="U32" s="19">
        <v>-13.543000000000003</v>
      </c>
      <c r="V32" s="19">
        <v>72.11399999999999</v>
      </c>
    </row>
    <row r="33" spans="1:23" s="11" customFormat="1" x14ac:dyDescent="0.2">
      <c r="A33" s="19" t="s">
        <v>19</v>
      </c>
      <c r="B33" s="19"/>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row>
    <row r="34" spans="1:23" s="11" customFormat="1" x14ac:dyDescent="0.2">
      <c r="A34" s="19" t="s">
        <v>18</v>
      </c>
      <c r="B34" s="21"/>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row>
    <row r="35" spans="1:23" s="20" customFormat="1" x14ac:dyDescent="0.2">
      <c r="A35" s="20" t="s">
        <v>17</v>
      </c>
      <c r="C35" s="20">
        <v>-128.66900000000001</v>
      </c>
      <c r="D35" s="20">
        <f>40.946-E35-F35-G35</f>
        <v>-95.581000000000017</v>
      </c>
      <c r="E35" s="20">
        <v>83.997</v>
      </c>
      <c r="F35" s="20">
        <v>91.046999999999997</v>
      </c>
      <c r="G35" s="20">
        <v>-38.517000000000003</v>
      </c>
      <c r="H35" s="20">
        <v>-62.147000000000006</v>
      </c>
      <c r="I35" s="20">
        <v>44.384999999999998</v>
      </c>
      <c r="J35" s="20">
        <v>70.084000000000003</v>
      </c>
      <c r="K35" s="20">
        <v>-35.843000000000004</v>
      </c>
      <c r="L35" s="20">
        <v>-73.675000000000011</v>
      </c>
      <c r="M35" s="20">
        <v>33.04</v>
      </c>
      <c r="N35" s="20">
        <v>75.149000000000001</v>
      </c>
      <c r="O35" s="20">
        <v>-17.027000000000001</v>
      </c>
      <c r="P35" s="20">
        <v>-62.587000000000003</v>
      </c>
      <c r="Q35" s="20">
        <v>58.956000000000003</v>
      </c>
      <c r="R35" s="20">
        <v>56.301000000000002</v>
      </c>
      <c r="S35" s="20">
        <v>-17.86</v>
      </c>
      <c r="T35" s="20">
        <v>-46.027999999999999</v>
      </c>
      <c r="U35" s="20">
        <v>33.225000000000001</v>
      </c>
      <c r="V35" s="20">
        <v>43.654000000000003</v>
      </c>
    </row>
    <row r="36" spans="1:23" s="11" customFormat="1" x14ac:dyDescent="0.2">
      <c r="A36" s="19" t="s">
        <v>16</v>
      </c>
      <c r="B36" s="21"/>
      <c r="C36" s="21">
        <v>-0.19800000000000001</v>
      </c>
      <c r="D36" s="21">
        <f>-5.703-E36-F36-G36</f>
        <v>-0.24200000000000044</v>
      </c>
      <c r="E36" s="21">
        <v>-1.4990000000000001</v>
      </c>
      <c r="F36" s="21">
        <v>-1.8340000000000001</v>
      </c>
      <c r="G36" s="21">
        <v>-2.1280000000000001</v>
      </c>
      <c r="H36" s="21">
        <v>-1.746999999999999</v>
      </c>
      <c r="I36" s="21">
        <v>-2.548</v>
      </c>
      <c r="J36" s="21">
        <v>-0.749</v>
      </c>
      <c r="K36" s="21">
        <v>-1.125</v>
      </c>
      <c r="L36" s="21">
        <v>-0.96300000000000008</v>
      </c>
      <c r="M36" s="21">
        <v>-1.109</v>
      </c>
      <c r="N36" s="21">
        <v>-1.0029999999999999</v>
      </c>
      <c r="O36" s="21">
        <v>-0.85099999999999998</v>
      </c>
      <c r="P36" s="21">
        <v>-0.373</v>
      </c>
      <c r="Q36" s="21">
        <v>-1.194</v>
      </c>
      <c r="R36" s="21">
        <v>-1.369</v>
      </c>
      <c r="S36" s="21">
        <v>-0.872</v>
      </c>
      <c r="T36" s="21">
        <v>-0.62</v>
      </c>
      <c r="U36" s="21">
        <v>-1.4419999999999999</v>
      </c>
      <c r="V36" s="21">
        <v>-1.3109999999999999</v>
      </c>
    </row>
    <row r="37" spans="1:23" s="20" customFormat="1" x14ac:dyDescent="0.2">
      <c r="A37" s="20" t="s">
        <v>15</v>
      </c>
      <c r="C37" s="20">
        <f t="shared" ref="C37:V37" si="20">+C35+C36</f>
        <v>-128.86700000000002</v>
      </c>
      <c r="D37" s="20">
        <f t="shared" si="20"/>
        <v>-95.823000000000022</v>
      </c>
      <c r="E37" s="20">
        <f t="shared" si="20"/>
        <v>82.498000000000005</v>
      </c>
      <c r="F37" s="20">
        <f t="shared" si="20"/>
        <v>89.212999999999994</v>
      </c>
      <c r="G37" s="20">
        <f t="shared" si="20"/>
        <v>-40.645000000000003</v>
      </c>
      <c r="H37" s="20">
        <f t="shared" si="20"/>
        <v>-63.894000000000005</v>
      </c>
      <c r="I37" s="20">
        <f t="shared" si="20"/>
        <v>41.836999999999996</v>
      </c>
      <c r="J37" s="20">
        <f t="shared" si="20"/>
        <v>69.335000000000008</v>
      </c>
      <c r="K37" s="20">
        <f t="shared" si="20"/>
        <v>-36.968000000000004</v>
      </c>
      <c r="L37" s="20">
        <f t="shared" si="20"/>
        <v>-74.638000000000005</v>
      </c>
      <c r="M37" s="20">
        <f t="shared" si="20"/>
        <v>31.930999999999997</v>
      </c>
      <c r="N37" s="20">
        <f t="shared" si="20"/>
        <v>74.146000000000001</v>
      </c>
      <c r="O37" s="20">
        <f t="shared" si="20"/>
        <v>-17.878</v>
      </c>
      <c r="P37" s="20">
        <f t="shared" si="20"/>
        <v>-62.96</v>
      </c>
      <c r="Q37" s="20">
        <f t="shared" si="20"/>
        <v>57.762</v>
      </c>
      <c r="R37" s="20">
        <f t="shared" si="20"/>
        <v>54.932000000000002</v>
      </c>
      <c r="S37" s="20">
        <f t="shared" si="20"/>
        <v>-18.731999999999999</v>
      </c>
      <c r="T37" s="20">
        <f t="shared" si="20"/>
        <v>-46.647999999999996</v>
      </c>
      <c r="U37" s="20">
        <f t="shared" si="20"/>
        <v>31.783000000000001</v>
      </c>
      <c r="V37" s="20">
        <f t="shared" si="20"/>
        <v>42.343000000000004</v>
      </c>
    </row>
    <row r="39" spans="1:23" s="16" customFormat="1" x14ac:dyDescent="0.2">
      <c r="A39" s="18" t="s">
        <v>14</v>
      </c>
      <c r="B39" s="19">
        <v>0</v>
      </c>
      <c r="C39" s="19">
        <v>0</v>
      </c>
      <c r="D39" s="19">
        <v>58</v>
      </c>
      <c r="E39" s="19">
        <v>58</v>
      </c>
      <c r="F39" s="19">
        <v>0</v>
      </c>
      <c r="G39" s="19">
        <v>0</v>
      </c>
      <c r="H39" s="19">
        <v>0</v>
      </c>
      <c r="I39" s="19">
        <v>0</v>
      </c>
      <c r="J39" s="19">
        <v>0</v>
      </c>
      <c r="K39" s="19">
        <v>36.799999999999997</v>
      </c>
      <c r="L39" s="19">
        <v>14</v>
      </c>
      <c r="M39" s="19">
        <v>11.138</v>
      </c>
      <c r="N39" s="19">
        <v>11.138</v>
      </c>
      <c r="O39" s="19">
        <v>33.637999999999998</v>
      </c>
      <c r="P39" s="19">
        <v>5</v>
      </c>
      <c r="Q39" s="19">
        <v>19.041</v>
      </c>
      <c r="R39" s="19">
        <v>19.041</v>
      </c>
      <c r="S39" s="19">
        <v>19.041</v>
      </c>
      <c r="T39" s="19"/>
      <c r="U39" s="19"/>
      <c r="V39" s="19"/>
    </row>
    <row r="40" spans="1:23" s="16" customFormat="1" x14ac:dyDescent="0.2">
      <c r="A40" s="18" t="s">
        <v>13</v>
      </c>
      <c r="B40" s="19">
        <f>615.4+36.1</f>
        <v>651.5</v>
      </c>
      <c r="C40" s="19">
        <v>637.5</v>
      </c>
      <c r="D40" s="19">
        <f>582.565+0.566+0.737</f>
        <v>583.86800000000005</v>
      </c>
      <c r="E40" s="19">
        <f>584.1+0.8</f>
        <v>584.9</v>
      </c>
      <c r="F40" s="19">
        <f>585.5+0.9</f>
        <v>586.4</v>
      </c>
      <c r="G40" s="19">
        <f>538.4+50</f>
        <v>588.4</v>
      </c>
      <c r="H40" s="19">
        <f>538.4+50</f>
        <v>588.4</v>
      </c>
      <c r="I40" s="19">
        <f>539.8+1</f>
        <v>540.79999999999995</v>
      </c>
      <c r="J40" s="19">
        <f>535.672+0.686</f>
        <v>536.35800000000006</v>
      </c>
      <c r="K40" s="19">
        <v>542.5</v>
      </c>
      <c r="L40" s="19">
        <f>425+85+35</f>
        <v>545</v>
      </c>
      <c r="M40" s="19">
        <f>421.813+0.107</f>
        <v>421.92</v>
      </c>
      <c r="N40" s="19">
        <f>413.782+0.202</f>
        <v>413.98399999999998</v>
      </c>
      <c r="O40" s="19">
        <f>359.998+0.259</f>
        <v>360.25700000000001</v>
      </c>
      <c r="P40" s="19">
        <f>371.262-P39</f>
        <v>366.262</v>
      </c>
      <c r="Q40" s="19">
        <f>366.314-Q39</f>
        <v>347.27300000000002</v>
      </c>
      <c r="R40" s="19">
        <f>368.174-R39</f>
        <v>349.13299999999998</v>
      </c>
      <c r="S40" s="19">
        <f>407.097-S39</f>
        <v>388.05599999999998</v>
      </c>
      <c r="T40" s="19"/>
      <c r="U40" s="19"/>
      <c r="V40" s="19"/>
    </row>
    <row r="41" spans="1:23" s="16" customFormat="1" x14ac:dyDescent="0.2">
      <c r="A41" s="18" t="s">
        <v>12</v>
      </c>
      <c r="B41" s="19">
        <f t="shared" ref="B41:K41" si="21">B39+B40</f>
        <v>651.5</v>
      </c>
      <c r="C41" s="19">
        <f t="shared" si="21"/>
        <v>637.5</v>
      </c>
      <c r="D41" s="19">
        <f t="shared" si="21"/>
        <v>641.86800000000005</v>
      </c>
      <c r="E41" s="19">
        <f t="shared" si="21"/>
        <v>642.9</v>
      </c>
      <c r="F41" s="19">
        <f t="shared" si="21"/>
        <v>586.4</v>
      </c>
      <c r="G41" s="19">
        <f t="shared" si="21"/>
        <v>588.4</v>
      </c>
      <c r="H41" s="19">
        <f t="shared" si="21"/>
        <v>588.4</v>
      </c>
      <c r="I41" s="19">
        <f t="shared" si="21"/>
        <v>540.79999999999995</v>
      </c>
      <c r="J41" s="19">
        <f t="shared" si="21"/>
        <v>536.35800000000006</v>
      </c>
      <c r="K41" s="19">
        <f t="shared" si="21"/>
        <v>579.29999999999995</v>
      </c>
      <c r="L41" s="19">
        <f t="shared" ref="L41:S41" si="22">L39+L40</f>
        <v>559</v>
      </c>
      <c r="M41" s="19">
        <f t="shared" si="22"/>
        <v>433.05799999999999</v>
      </c>
      <c r="N41" s="19">
        <f t="shared" si="22"/>
        <v>425.12199999999996</v>
      </c>
      <c r="O41" s="19">
        <f t="shared" si="22"/>
        <v>393.89499999999998</v>
      </c>
      <c r="P41" s="19">
        <f t="shared" si="22"/>
        <v>371.262</v>
      </c>
      <c r="Q41" s="19">
        <f t="shared" si="22"/>
        <v>366.31400000000002</v>
      </c>
      <c r="R41" s="19">
        <f t="shared" si="22"/>
        <v>368.17399999999998</v>
      </c>
      <c r="S41" s="19">
        <f t="shared" si="22"/>
        <v>407.09699999999998</v>
      </c>
      <c r="T41" s="19"/>
      <c r="U41" s="19"/>
      <c r="V41" s="19"/>
    </row>
    <row r="42" spans="1:23" s="16" customFormat="1" x14ac:dyDescent="0.2">
      <c r="A42" s="18" t="s">
        <v>11</v>
      </c>
      <c r="B42" s="17">
        <v>684</v>
      </c>
      <c r="C42" s="17">
        <v>684</v>
      </c>
      <c r="D42" s="17">
        <v>684</v>
      </c>
      <c r="E42" s="17">
        <v>684</v>
      </c>
      <c r="F42" s="17">
        <v>684</v>
      </c>
      <c r="G42" s="17">
        <v>684</v>
      </c>
      <c r="H42" s="17">
        <v>684</v>
      </c>
      <c r="I42" s="17">
        <v>684</v>
      </c>
      <c r="J42" s="17">
        <v>684</v>
      </c>
      <c r="K42" s="17">
        <v>684</v>
      </c>
      <c r="L42" s="17">
        <v>684</v>
      </c>
      <c r="M42" s="17">
        <v>684</v>
      </c>
      <c r="N42" s="17">
        <v>0</v>
      </c>
      <c r="O42" s="17">
        <v>0</v>
      </c>
      <c r="P42" s="17">
        <v>0</v>
      </c>
      <c r="Q42" s="17">
        <v>0</v>
      </c>
      <c r="R42" s="17">
        <v>0</v>
      </c>
      <c r="S42" s="17">
        <v>0</v>
      </c>
      <c r="T42" s="17"/>
      <c r="U42" s="17"/>
      <c r="V42" s="17"/>
    </row>
    <row r="43" spans="1:23" x14ac:dyDescent="0.2">
      <c r="B43" s="16"/>
      <c r="C43" s="16"/>
      <c r="D43" s="16"/>
      <c r="E43" s="16"/>
      <c r="F43" s="16"/>
      <c r="G43" s="16"/>
      <c r="H43" s="16"/>
      <c r="I43" s="16"/>
      <c r="J43" s="16"/>
      <c r="K43" s="16"/>
      <c r="L43" s="16"/>
      <c r="M43" s="16"/>
      <c r="N43" s="16"/>
      <c r="O43" s="16"/>
      <c r="P43" s="16"/>
      <c r="Q43" s="16"/>
    </row>
    <row r="44" spans="1:23" x14ac:dyDescent="0.2">
      <c r="A44" s="15" t="s">
        <v>10</v>
      </c>
      <c r="B44" s="14">
        <v>139.80000000000001</v>
      </c>
      <c r="C44" s="14">
        <v>159.495</v>
      </c>
      <c r="D44" s="14">
        <v>116.411</v>
      </c>
      <c r="E44" s="14">
        <v>215.52199999999999</v>
      </c>
      <c r="F44" s="14">
        <v>79.622</v>
      </c>
      <c r="G44" s="14">
        <v>38.9</v>
      </c>
      <c r="H44" s="14">
        <v>38.9</v>
      </c>
      <c r="I44" s="14">
        <v>93.924999999999997</v>
      </c>
      <c r="J44" s="14">
        <v>53.343000000000004</v>
      </c>
      <c r="K44" s="14">
        <v>25.846</v>
      </c>
      <c r="L44" s="14">
        <v>17.600000000000001</v>
      </c>
      <c r="M44" s="14">
        <v>61.39</v>
      </c>
      <c r="N44" s="14">
        <v>29.65</v>
      </c>
      <c r="O44" s="14">
        <v>33</v>
      </c>
      <c r="P44" s="14">
        <v>18.968</v>
      </c>
      <c r="Q44" s="14">
        <v>79.141999999999996</v>
      </c>
      <c r="R44" s="14">
        <v>34.817999999999998</v>
      </c>
      <c r="S44" s="14">
        <v>17.582000000000001</v>
      </c>
      <c r="T44" s="14"/>
      <c r="U44" s="14"/>
      <c r="V44" s="14"/>
    </row>
    <row r="45" spans="1:23" x14ac:dyDescent="0.2">
      <c r="B45" s="11"/>
      <c r="C45" s="11"/>
      <c r="D45" s="11"/>
      <c r="E45" s="11"/>
      <c r="F45" s="11"/>
    </row>
    <row r="46" spans="1:23" x14ac:dyDescent="0.2">
      <c r="A46" s="1" t="s">
        <v>9</v>
      </c>
      <c r="B46" s="13">
        <f>C46+B12-F12</f>
        <v>184.5</v>
      </c>
      <c r="C46" s="13">
        <f>D46+C12-G12</f>
        <v>237.11600000000001</v>
      </c>
      <c r="D46" s="13">
        <f>SUM(D12:G12)</f>
        <v>344.98</v>
      </c>
      <c r="E46" s="12">
        <f>F46+115.5-324.3</f>
        <v>550.80600000000004</v>
      </c>
      <c r="F46" s="12">
        <f>G46+46.2-49</f>
        <v>759.60600000000011</v>
      </c>
      <c r="G46" s="12">
        <f>H46+112-108</f>
        <v>762.40600000000006</v>
      </c>
      <c r="H46" s="12">
        <f>SUM(H12:K12)+108</f>
        <v>758.40600000000006</v>
      </c>
      <c r="I46" s="11">
        <f>SUM(I12:L12)</f>
        <v>617.70799999999997</v>
      </c>
      <c r="J46" s="11">
        <f t="shared" ref="J46:S46" si="23">SUM(J12:M12)</f>
        <v>598.94200000000001</v>
      </c>
      <c r="K46" s="11">
        <f t="shared" si="23"/>
        <v>598.96</v>
      </c>
      <c r="L46" s="11">
        <f t="shared" si="23"/>
        <v>602.86300000000006</v>
      </c>
      <c r="M46" s="11">
        <f t="shared" si="23"/>
        <v>583.04099999999994</v>
      </c>
      <c r="N46" s="11">
        <f t="shared" si="23"/>
        <v>588.77099999999996</v>
      </c>
      <c r="O46" s="11">
        <f t="shared" si="23"/>
        <v>586.65800000000002</v>
      </c>
      <c r="P46" s="11">
        <f t="shared" si="23"/>
        <v>582.75400000000002</v>
      </c>
      <c r="Q46" s="11">
        <f t="shared" si="23"/>
        <v>574.37099999999998</v>
      </c>
      <c r="R46" s="11">
        <f t="shared" si="23"/>
        <v>551.73299999999995</v>
      </c>
      <c r="S46" s="11">
        <f t="shared" si="23"/>
        <v>542.29100000000005</v>
      </c>
    </row>
    <row r="47" spans="1:23" x14ac:dyDescent="0.2">
      <c r="A47" s="1" t="s">
        <v>8</v>
      </c>
      <c r="B47" s="53">
        <f>B27</f>
        <v>32.9</v>
      </c>
      <c r="C47" s="53">
        <f>C27</f>
        <v>42.599999999999994</v>
      </c>
      <c r="D47" s="53" t="s">
        <v>83</v>
      </c>
      <c r="E47" s="11">
        <f t="shared" ref="E47" si="24">+E27</f>
        <v>97.1</v>
      </c>
      <c r="F47" s="11">
        <f t="shared" ref="F47:H47" si="25">+F27</f>
        <v>101.1</v>
      </c>
      <c r="G47" s="11">
        <f t="shared" si="25"/>
        <v>104.10000000000001</v>
      </c>
      <c r="H47" s="11">
        <f t="shared" si="25"/>
        <v>94.5</v>
      </c>
      <c r="I47" s="11">
        <f t="shared" ref="I47:S47" si="26">+I27</f>
        <v>91.4</v>
      </c>
      <c r="J47" s="11">
        <f t="shared" si="26"/>
        <v>85.7</v>
      </c>
      <c r="K47" s="11">
        <f t="shared" si="26"/>
        <v>82.4</v>
      </c>
      <c r="L47" s="11">
        <f t="shared" si="26"/>
        <v>85.4</v>
      </c>
      <c r="M47" s="11">
        <f t="shared" si="26"/>
        <v>120.39499999999994</v>
      </c>
      <c r="N47" s="11">
        <f t="shared" si="26"/>
        <v>117.42499999999995</v>
      </c>
      <c r="O47" s="11">
        <f t="shared" si="26"/>
        <v>81.100999999999971</v>
      </c>
      <c r="P47" s="11">
        <f t="shared" si="26"/>
        <v>70.216999999999956</v>
      </c>
      <c r="Q47" s="11">
        <f t="shared" si="26"/>
        <v>53.662999999999982</v>
      </c>
      <c r="R47" s="11">
        <f t="shared" si="26"/>
        <v>42.553000000000026</v>
      </c>
      <c r="S47" s="11">
        <f t="shared" si="26"/>
        <v>38.685900000000025</v>
      </c>
    </row>
    <row r="48" spans="1:23" x14ac:dyDescent="0.2">
      <c r="A48" s="1" t="s">
        <v>7</v>
      </c>
      <c r="B48" s="53"/>
      <c r="C48" s="11">
        <f t="shared" ref="C48:S48" si="27">+SUM(C37:F37)</f>
        <v>-52.97900000000007</v>
      </c>
      <c r="D48" s="11">
        <f t="shared" si="27"/>
        <v>35.242999999999974</v>
      </c>
      <c r="E48" s="11">
        <f t="shared" si="27"/>
        <v>67.171999999999997</v>
      </c>
      <c r="F48" s="11">
        <f t="shared" si="27"/>
        <v>26.510999999999981</v>
      </c>
      <c r="G48" s="11">
        <f t="shared" si="27"/>
        <v>6.6329999999999885</v>
      </c>
      <c r="H48" s="11">
        <f t="shared" si="27"/>
        <v>10.309999999999995</v>
      </c>
      <c r="I48" s="11">
        <f t="shared" si="27"/>
        <v>-0.43400000000001171</v>
      </c>
      <c r="J48" s="11">
        <f t="shared" si="27"/>
        <v>-10.340000000000003</v>
      </c>
      <c r="K48" s="11">
        <f t="shared" si="27"/>
        <v>-5.5290000000000106</v>
      </c>
      <c r="L48" s="11">
        <f t="shared" si="27"/>
        <v>13.560999999999993</v>
      </c>
      <c r="M48" s="11">
        <f t="shared" si="27"/>
        <v>25.238999999999997</v>
      </c>
      <c r="N48" s="11">
        <f t="shared" si="27"/>
        <v>51.07</v>
      </c>
      <c r="O48" s="11">
        <f t="shared" si="27"/>
        <v>31.856000000000009</v>
      </c>
      <c r="P48" s="11">
        <f t="shared" si="27"/>
        <v>31.002000000000002</v>
      </c>
      <c r="Q48" s="11">
        <f t="shared" si="27"/>
        <v>47.314000000000007</v>
      </c>
      <c r="R48" s="11">
        <f t="shared" si="27"/>
        <v>21.335000000000008</v>
      </c>
      <c r="S48" s="11">
        <f t="shared" si="27"/>
        <v>8.7460000000000093</v>
      </c>
      <c r="W48" s="10"/>
    </row>
    <row r="49" spans="1:25" x14ac:dyDescent="0.2">
      <c r="W49" s="10"/>
    </row>
    <row r="50" spans="1:25" s="10" customFormat="1" x14ac:dyDescent="0.2">
      <c r="A50" s="10" t="s">
        <v>6</v>
      </c>
      <c r="B50" s="10">
        <f t="shared" ref="B50" si="28">+SUM(B39:B40)/B47</f>
        <v>19.80243161094225</v>
      </c>
      <c r="C50" s="10">
        <f t="shared" ref="C50:E50" si="29">+SUM(C39:C40)/C47</f>
        <v>14.964788732394368</v>
      </c>
      <c r="E50" s="10">
        <f t="shared" si="29"/>
        <v>6.6210092687950564</v>
      </c>
      <c r="F50" s="10">
        <f t="shared" ref="F50" si="30">+SUM(F39:F40)/F47</f>
        <v>5.8001978239366965</v>
      </c>
      <c r="G50" s="10">
        <f t="shared" ref="G50:H50" si="31">+SUM(G39:G40)/G47</f>
        <v>5.6522574447646488</v>
      </c>
      <c r="H50" s="10">
        <f t="shared" si="31"/>
        <v>6.2264550264550262</v>
      </c>
      <c r="I50" s="10">
        <f t="shared" ref="I50:J50" si="32">+SUM(I39:I40)/I47</f>
        <v>5.9168490153172861</v>
      </c>
      <c r="J50" s="10">
        <f t="shared" si="32"/>
        <v>6.2585530921820309</v>
      </c>
      <c r="K50" s="10">
        <f t="shared" ref="K50:S50" si="33">+SUM(K39:K40)/K47</f>
        <v>7.0303398058252418</v>
      </c>
      <c r="L50" s="10">
        <f t="shared" si="33"/>
        <v>6.5456674473067915</v>
      </c>
      <c r="M50" s="10">
        <f t="shared" si="33"/>
        <v>3.5969766186303436</v>
      </c>
      <c r="N50" s="10">
        <f t="shared" si="33"/>
        <v>3.6203704492229094</v>
      </c>
      <c r="O50" s="10">
        <f t="shared" si="33"/>
        <v>4.8568451683703051</v>
      </c>
      <c r="P50" s="10">
        <f t="shared" si="33"/>
        <v>5.2873520657390696</v>
      </c>
      <c r="Q50" s="10">
        <f t="shared" si="33"/>
        <v>6.8261930939380981</v>
      </c>
      <c r="R50" s="10">
        <f t="shared" si="33"/>
        <v>8.6521279345757005</v>
      </c>
      <c r="S50" s="10">
        <f t="shared" si="33"/>
        <v>10.523136336494684</v>
      </c>
    </row>
    <row r="51" spans="1:25" s="10" customFormat="1" x14ac:dyDescent="0.2">
      <c r="A51" s="10" t="s">
        <v>5</v>
      </c>
      <c r="B51" s="10">
        <f t="shared" ref="B51" si="34">+B41/B47</f>
        <v>19.80243161094225</v>
      </c>
      <c r="C51" s="10">
        <f t="shared" ref="C51:E51" si="35">+C41/C47</f>
        <v>14.964788732394368</v>
      </c>
      <c r="E51" s="10">
        <f t="shared" si="35"/>
        <v>6.6210092687950564</v>
      </c>
      <c r="F51" s="10">
        <f t="shared" ref="F51" si="36">+F41/F47</f>
        <v>5.8001978239366965</v>
      </c>
      <c r="G51" s="10">
        <f t="shared" ref="G51:H51" si="37">+G41/G47</f>
        <v>5.6522574447646488</v>
      </c>
      <c r="H51" s="10">
        <f t="shared" si="37"/>
        <v>6.2264550264550262</v>
      </c>
      <c r="I51" s="10">
        <f t="shared" ref="I51:J51" si="38">+I41/I47</f>
        <v>5.9168490153172861</v>
      </c>
      <c r="J51" s="10">
        <f t="shared" si="38"/>
        <v>6.2585530921820309</v>
      </c>
      <c r="K51" s="10">
        <f t="shared" ref="K51:S51" si="39">+K41/K47</f>
        <v>7.0303398058252418</v>
      </c>
      <c r="L51" s="10">
        <f t="shared" si="39"/>
        <v>6.5456674473067915</v>
      </c>
      <c r="M51" s="10">
        <f t="shared" si="39"/>
        <v>3.5969766186303436</v>
      </c>
      <c r="N51" s="10">
        <f t="shared" si="39"/>
        <v>3.6203704492229094</v>
      </c>
      <c r="O51" s="10">
        <f t="shared" si="39"/>
        <v>4.8568451683703051</v>
      </c>
      <c r="P51" s="10">
        <f t="shared" si="39"/>
        <v>5.2873520657390696</v>
      </c>
      <c r="Q51" s="10">
        <f t="shared" si="39"/>
        <v>6.8261930939380981</v>
      </c>
      <c r="R51" s="10">
        <f t="shared" si="39"/>
        <v>8.6521279345757005</v>
      </c>
      <c r="S51" s="10">
        <f t="shared" si="39"/>
        <v>10.523136336494684</v>
      </c>
    </row>
    <row r="52" spans="1:25" s="10" customFormat="1" x14ac:dyDescent="0.2">
      <c r="A52" s="10" t="s">
        <v>4</v>
      </c>
      <c r="B52" s="10">
        <f t="shared" ref="B52" si="40">+(B41-B44)/B47</f>
        <v>15.553191489361703</v>
      </c>
      <c r="C52" s="10">
        <f t="shared" ref="C52:E52" si="41">+(C41-C44)/C47</f>
        <v>11.220774647887325</v>
      </c>
      <c r="E52" s="10">
        <f t="shared" si="41"/>
        <v>4.4014212152420189</v>
      </c>
      <c r="F52" s="10">
        <f t="shared" ref="F52" si="42">+(F41-F44)/F47</f>
        <v>5.0126409495548963</v>
      </c>
      <c r="G52" s="10">
        <f t="shared" ref="G52:H52" si="43">+(G41-G44)/G47</f>
        <v>5.278578290105667</v>
      </c>
      <c r="H52" s="10">
        <f t="shared" si="43"/>
        <v>5.8148148148148149</v>
      </c>
      <c r="I52" s="10">
        <f t="shared" ref="I52:J52" si="44">+(I41-I44)/I47</f>
        <v>4.8892231947483582</v>
      </c>
      <c r="J52" s="10">
        <f t="shared" si="44"/>
        <v>5.6361143523920658</v>
      </c>
      <c r="K52" s="10">
        <f t="shared" ref="K52:S52" si="45">+(K41-K44)/K47</f>
        <v>6.7166747572815524</v>
      </c>
      <c r="L52" s="10">
        <f t="shared" si="45"/>
        <v>6.3395784543325524</v>
      </c>
      <c r="M52" s="10">
        <f t="shared" si="45"/>
        <v>3.0870717222476034</v>
      </c>
      <c r="N52" s="10">
        <f t="shared" si="45"/>
        <v>3.3678688524590177</v>
      </c>
      <c r="O52" s="10">
        <f t="shared" si="45"/>
        <v>4.4499451301463617</v>
      </c>
      <c r="P52" s="10">
        <f t="shared" si="45"/>
        <v>5.0172180526083459</v>
      </c>
      <c r="Q52" s="10">
        <f t="shared" si="45"/>
        <v>5.3513966792762258</v>
      </c>
      <c r="R52" s="10">
        <f t="shared" si="45"/>
        <v>7.8339012525556315</v>
      </c>
      <c r="S52" s="10">
        <f t="shared" si="45"/>
        <v>10.068655504977258</v>
      </c>
    </row>
    <row r="53" spans="1:25" s="6" customFormat="1" x14ac:dyDescent="0.2">
      <c r="A53" s="6" t="s">
        <v>3</v>
      </c>
      <c r="B53" s="6">
        <f t="shared" ref="B53" si="46">+B48/B41</f>
        <v>0</v>
      </c>
      <c r="C53" s="6">
        <f t="shared" ref="C53:E53" si="47">+C48/C41</f>
        <v>-8.3104313725490306E-2</v>
      </c>
      <c r="E53" s="6">
        <f t="shared" si="47"/>
        <v>0.10448281225696064</v>
      </c>
      <c r="F53" s="6">
        <f t="shared" ref="F53" si="48">+F48/F41</f>
        <v>4.5209754433833529E-2</v>
      </c>
      <c r="G53" s="6">
        <f t="shared" ref="G53:H53" si="49">+G48/G41</f>
        <v>1.1272943575798756E-2</v>
      </c>
      <c r="H53" s="6">
        <f t="shared" si="49"/>
        <v>1.7522093813732147E-2</v>
      </c>
      <c r="I53" s="6">
        <f t="shared" ref="I53:J53" si="50">+I48/I41</f>
        <v>-8.0251479289942997E-4</v>
      </c>
      <c r="J53" s="6">
        <f t="shared" si="50"/>
        <v>-1.9278168685840431E-2</v>
      </c>
      <c r="K53" s="6">
        <f t="shared" ref="K53:S53" si="51">+K48/K41</f>
        <v>-9.5442775763853113E-3</v>
      </c>
      <c r="L53" s="6">
        <f t="shared" si="51"/>
        <v>2.4259391771019666E-2</v>
      </c>
      <c r="M53" s="6">
        <f t="shared" si="51"/>
        <v>5.8280876926416321E-2</v>
      </c>
      <c r="N53" s="6">
        <f t="shared" si="51"/>
        <v>0.1201302214423154</v>
      </c>
      <c r="O53" s="6">
        <f t="shared" si="51"/>
        <v>8.0874344685766542E-2</v>
      </c>
      <c r="P53" s="6">
        <f t="shared" si="51"/>
        <v>8.3504371575868264E-2</v>
      </c>
      <c r="Q53" s="6">
        <f t="shared" si="51"/>
        <v>0.12916241257500397</v>
      </c>
      <c r="R53" s="6">
        <f t="shared" si="51"/>
        <v>5.7948144084047241E-2</v>
      </c>
      <c r="S53" s="6">
        <f t="shared" si="51"/>
        <v>2.1483823265708198E-2</v>
      </c>
      <c r="W53" s="10"/>
    </row>
    <row r="54" spans="1:25" s="6" customFormat="1" x14ac:dyDescent="0.2">
      <c r="A54" s="8" t="s">
        <v>2</v>
      </c>
      <c r="B54" s="9"/>
      <c r="C54" s="9"/>
      <c r="D54" s="9"/>
      <c r="E54" s="9"/>
      <c r="F54" s="9"/>
      <c r="G54" s="9"/>
      <c r="H54" s="9"/>
      <c r="I54" s="9"/>
      <c r="J54" s="9"/>
      <c r="K54" s="9"/>
      <c r="L54" s="9"/>
      <c r="M54" s="9"/>
      <c r="N54" s="9"/>
      <c r="O54" s="9"/>
      <c r="P54" s="9"/>
      <c r="Q54" s="9"/>
      <c r="R54" s="9"/>
      <c r="S54" s="9"/>
      <c r="T54" s="8"/>
      <c r="U54" s="8"/>
      <c r="V54" s="8"/>
      <c r="W54" s="10"/>
    </row>
    <row r="55" spans="1:25" s="6" customFormat="1" x14ac:dyDescent="0.2">
      <c r="A55" s="6" t="s">
        <v>1</v>
      </c>
      <c r="B55" s="7">
        <f t="shared" ref="B55" si="52">IF(B42=0,IF(B54="","","*"&amp;TEXT(B54,"0.0x")),(B41+B42-B44)/B47)</f>
        <v>36.343465045592708</v>
      </c>
      <c r="C55" s="7">
        <f t="shared" ref="C55:E55" si="53">IF(C42=0,IF(C54="","","*"&amp;TEXT(C54,"0.0x")),(C41+C42-C44)/C47)</f>
        <v>27.277112676056344</v>
      </c>
      <c r="D55" s="7"/>
      <c r="E55" s="7">
        <f t="shared" si="53"/>
        <v>11.445705458290425</v>
      </c>
      <c r="F55" s="7">
        <f t="shared" ref="F55" si="54">IF(F42=0,IF(F54="","","*"&amp;TEXT(F54,"0.0x")),(F41+F42-F44)/F47)</f>
        <v>11.778219584569733</v>
      </c>
      <c r="G55" s="7">
        <f t="shared" ref="G55:H55" si="55">IF(G42=0,IF(G54="","","*"&amp;TEXT(G54,"0.0x")),(G41+G42-G44)/G47)</f>
        <v>11.849183477425552</v>
      </c>
      <c r="H55" s="7">
        <f t="shared" si="55"/>
        <v>13.052910052910052</v>
      </c>
      <c r="I55" s="7">
        <f t="shared" ref="I55:J55" si="56">IF(I42=0,IF(I54="","","*"&amp;TEXT(I54,"0.0x")),(I41+I42-I44)/I47)</f>
        <v>12.372811816192559</v>
      </c>
      <c r="J55" s="7">
        <f t="shared" si="56"/>
        <v>13.617444574095684</v>
      </c>
      <c r="K55" s="7">
        <f t="shared" ref="K55:S55" si="57">IF(K42=0,IF(K54="","","*"&amp;TEXT(K54,"0.0x")),(K41+K42-K44)/K47)</f>
        <v>15.017645631067959</v>
      </c>
      <c r="L55" s="7">
        <f t="shared" si="57"/>
        <v>14.348946135831381</v>
      </c>
      <c r="M55" s="7">
        <f t="shared" si="57"/>
        <v>8.7683707795174257</v>
      </c>
      <c r="N55" s="7" t="str">
        <f t="shared" si="57"/>
        <v/>
      </c>
      <c r="O55" s="7" t="str">
        <f t="shared" si="57"/>
        <v/>
      </c>
      <c r="P55" s="7" t="str">
        <f t="shared" si="57"/>
        <v/>
      </c>
      <c r="Q55" s="7" t="str">
        <f t="shared" si="57"/>
        <v/>
      </c>
      <c r="R55" s="7" t="str">
        <f t="shared" si="57"/>
        <v/>
      </c>
      <c r="S55" s="7" t="str">
        <f t="shared" si="57"/>
        <v/>
      </c>
      <c r="T55" s="7" t="str">
        <f>IF(T42=0,IF(T54="","",CONCATENATE("* ",T54,"x")),(T41+T42-T44)/T47)</f>
        <v/>
      </c>
      <c r="U55" s="7" t="str">
        <f>IF(U42=0,IF(U54="","",CONCATENATE("* ",U54,"x")),(U41+U42-U44)/U47)</f>
        <v/>
      </c>
      <c r="V55" s="7" t="str">
        <f>IF(V42=0,IF(V54="","",CONCATENATE("* ",V54,"x")),(V41+V42-V44)/V47)</f>
        <v/>
      </c>
    </row>
    <row r="56" spans="1:25" x14ac:dyDescent="0.2">
      <c r="S56" s="3"/>
    </row>
    <row r="57" spans="1:25" ht="80.25" customHeight="1" x14ac:dyDescent="0.2">
      <c r="A57" s="5" t="s">
        <v>0</v>
      </c>
      <c r="B57" s="4" t="s">
        <v>492</v>
      </c>
      <c r="C57" s="4" t="s">
        <v>492</v>
      </c>
      <c r="D57" s="4" t="s">
        <v>492</v>
      </c>
      <c r="E57" s="4" t="s">
        <v>492</v>
      </c>
      <c r="F57" s="4" t="s">
        <v>367</v>
      </c>
      <c r="G57" s="4" t="s">
        <v>458</v>
      </c>
      <c r="H57" s="4" t="s">
        <v>439</v>
      </c>
      <c r="I57" s="4" t="s">
        <v>388</v>
      </c>
      <c r="J57" s="4"/>
      <c r="K57" s="4" t="s">
        <v>245</v>
      </c>
      <c r="L57" s="4" t="s">
        <v>246</v>
      </c>
      <c r="M57" s="4"/>
      <c r="N57" s="4" t="s">
        <v>127</v>
      </c>
      <c r="O57" s="4" t="s">
        <v>127</v>
      </c>
      <c r="P57" s="4"/>
      <c r="Q57" s="4"/>
      <c r="R57" s="4"/>
      <c r="S57" s="4"/>
      <c r="T57" s="4"/>
      <c r="U57" s="4"/>
      <c r="V57" s="4"/>
    </row>
    <row r="58" spans="1:25" x14ac:dyDescent="0.2">
      <c r="A58" s="2"/>
      <c r="B58" s="3"/>
      <c r="C58" s="3"/>
      <c r="D58" s="3"/>
      <c r="E58" s="3"/>
      <c r="F58" s="3"/>
      <c r="G58" s="3"/>
      <c r="H58" s="3"/>
      <c r="I58" s="3"/>
      <c r="J58" s="3"/>
      <c r="K58" s="3"/>
      <c r="L58" s="3"/>
      <c r="M58" s="3"/>
      <c r="N58" s="3"/>
      <c r="O58" s="3"/>
    </row>
    <row r="59" spans="1:25" x14ac:dyDescent="0.2">
      <c r="A59" s="2"/>
    </row>
    <row r="64" spans="1:25" x14ac:dyDescent="0.2">
      <c r="Y64" s="20"/>
    </row>
  </sheetData>
  <pageMargins left="0.7" right="0.7" top="0.75" bottom="0.75" header="0.3" footer="0.3"/>
  <pageSetup orientation="portrait" r:id="rId1"/>
  <ignoredErrors>
    <ignoredError sqref="J49:T51 N46:T46 N47:T48 M46 J47:M48 I46:L46 I47:I48 H46:H47" formulaRange="1"/>
  </ignoredErrors>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2:AG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2" width="10.7109375" style="1" customWidth="1"/>
    <col min="23" max="16384" width="9.140625" style="1"/>
  </cols>
  <sheetData>
    <row r="2" spans="1:32" x14ac:dyDescent="0.2">
      <c r="A2" s="34" t="s">
        <v>45</v>
      </c>
      <c r="B2" s="1" t="s">
        <v>437</v>
      </c>
    </row>
    <row r="3" spans="1:32" s="35" customFormat="1" x14ac:dyDescent="0.2">
      <c r="A3" s="36" t="s">
        <v>43</v>
      </c>
      <c r="B3" s="35" t="s">
        <v>129</v>
      </c>
    </row>
    <row r="4" spans="1:32" x14ac:dyDescent="0.2">
      <c r="A4" s="34" t="s">
        <v>41</v>
      </c>
      <c r="B4" s="1" t="s">
        <v>40</v>
      </c>
    </row>
    <row r="5" spans="1:32" x14ac:dyDescent="0.2">
      <c r="A5" s="34" t="s">
        <v>39</v>
      </c>
    </row>
    <row r="6" spans="1:32" x14ac:dyDescent="0.2">
      <c r="A6" s="34" t="s">
        <v>38</v>
      </c>
      <c r="B6" s="1">
        <v>1</v>
      </c>
    </row>
    <row r="7" spans="1:32" x14ac:dyDescent="0.2">
      <c r="A7" s="34" t="s">
        <v>37</v>
      </c>
      <c r="B7" s="1" t="s">
        <v>374</v>
      </c>
    </row>
    <row r="8" spans="1:32" x14ac:dyDescent="0.2">
      <c r="A8" s="34" t="s">
        <v>281</v>
      </c>
      <c r="B8" s="1" t="s">
        <v>81</v>
      </c>
    </row>
    <row r="9" spans="1:32" x14ac:dyDescent="0.2">
      <c r="A9" s="22"/>
    </row>
    <row r="10" spans="1:32"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f t="shared" ref="P10:V10" si="0">EOMONTH(O10,-3)</f>
        <v>43008</v>
      </c>
      <c r="Q10" s="33">
        <f t="shared" si="0"/>
        <v>42916</v>
      </c>
      <c r="R10" s="33">
        <f t="shared" si="0"/>
        <v>42825</v>
      </c>
      <c r="S10" s="33">
        <f t="shared" si="0"/>
        <v>42735</v>
      </c>
      <c r="T10" s="33">
        <f t="shared" si="0"/>
        <v>42643</v>
      </c>
      <c r="U10" s="33">
        <f t="shared" si="0"/>
        <v>42551</v>
      </c>
      <c r="V10" s="33">
        <f t="shared" si="0"/>
        <v>42460</v>
      </c>
    </row>
    <row r="12" spans="1:32" x14ac:dyDescent="0.2">
      <c r="A12" s="15" t="s">
        <v>35</v>
      </c>
      <c r="B12" s="19">
        <v>1486</v>
      </c>
      <c r="C12" s="19">
        <f>5652-D12-E12-F12</f>
        <v>1743</v>
      </c>
      <c r="D12" s="19">
        <v>1448</v>
      </c>
      <c r="E12" s="19">
        <v>1198</v>
      </c>
      <c r="F12" s="19">
        <v>1263</v>
      </c>
      <c r="G12" s="19">
        <f>5597-H12-I12-J12</f>
        <v>1694</v>
      </c>
      <c r="H12" s="19">
        <v>1339</v>
      </c>
      <c r="I12" s="19">
        <v>1310</v>
      </c>
      <c r="J12" s="19">
        <v>1254</v>
      </c>
      <c r="K12" s="19">
        <f>5688-L12-M12-N12</f>
        <v>1558</v>
      </c>
      <c r="L12" s="19">
        <v>1391</v>
      </c>
      <c r="M12" s="19">
        <v>1368</v>
      </c>
      <c r="N12" s="19">
        <v>1371</v>
      </c>
      <c r="O12" s="19">
        <f>5878-R12-Q12-P12</f>
        <v>1577</v>
      </c>
      <c r="P12" s="19">
        <v>1436</v>
      </c>
      <c r="Q12" s="19">
        <v>1448</v>
      </c>
      <c r="R12" s="19">
        <v>1417</v>
      </c>
      <c r="S12" s="19">
        <f>6356-V12-U12-T12</f>
        <v>1886</v>
      </c>
      <c r="T12" s="19">
        <v>1518</v>
      </c>
      <c r="U12" s="19">
        <v>1509</v>
      </c>
      <c r="V12" s="17">
        <v>1443</v>
      </c>
      <c r="Y12" s="23"/>
      <c r="Z12" s="23"/>
      <c r="AA12" s="23"/>
      <c r="AB12" s="23"/>
      <c r="AC12" s="23"/>
      <c r="AD12" s="23"/>
      <c r="AE12" s="23"/>
      <c r="AF12" s="23"/>
    </row>
    <row r="13" spans="1:32" s="28" customFormat="1" x14ac:dyDescent="0.2">
      <c r="A13" s="28" t="s">
        <v>34</v>
      </c>
      <c r="B13" s="28">
        <f t="shared" ref="B13:R13" si="1">+B12/F12-1</f>
        <v>0.17656373713380846</v>
      </c>
      <c r="C13" s="28">
        <f t="shared" si="1"/>
        <v>2.8925619834710758E-2</v>
      </c>
      <c r="D13" s="28">
        <f t="shared" si="1"/>
        <v>8.1404032860343589E-2</v>
      </c>
      <c r="E13" s="28">
        <f t="shared" si="1"/>
        <v>-8.5496183206106857E-2</v>
      </c>
      <c r="F13" s="28">
        <f t="shared" si="1"/>
        <v>7.1770334928229484E-3</v>
      </c>
      <c r="G13" s="28">
        <f t="shared" si="1"/>
        <v>8.7291399229781685E-2</v>
      </c>
      <c r="H13" s="28">
        <f t="shared" si="1"/>
        <v>-3.7383177570093462E-2</v>
      </c>
      <c r="I13" s="28">
        <f t="shared" si="1"/>
        <v>-4.2397660818713434E-2</v>
      </c>
      <c r="J13" s="28">
        <f t="shared" si="1"/>
        <v>-8.5339168490153217E-2</v>
      </c>
      <c r="K13" s="28">
        <f t="shared" si="1"/>
        <v>-1.2048192771084376E-2</v>
      </c>
      <c r="L13" s="28">
        <f t="shared" si="1"/>
        <v>-3.1337047353760417E-2</v>
      </c>
      <c r="M13" s="28">
        <f t="shared" si="1"/>
        <v>-5.5248618784530357E-2</v>
      </c>
      <c r="N13" s="28">
        <f t="shared" si="1"/>
        <v>-3.2462949894142556E-2</v>
      </c>
      <c r="O13" s="28">
        <f t="shared" si="1"/>
        <v>-0.16383881230116648</v>
      </c>
      <c r="P13" s="28">
        <f t="shared" si="1"/>
        <v>-5.4018445322793096E-2</v>
      </c>
      <c r="Q13" s="28">
        <f t="shared" si="1"/>
        <v>-4.042412193505629E-2</v>
      </c>
      <c r="R13" s="28">
        <f t="shared" si="1"/>
        <v>-1.8018018018018056E-2</v>
      </c>
      <c r="Y13" s="23"/>
      <c r="Z13" s="23"/>
      <c r="AA13" s="23"/>
      <c r="AB13" s="23"/>
      <c r="AC13" s="23"/>
      <c r="AD13" s="23"/>
      <c r="AE13" s="23"/>
      <c r="AF13" s="23"/>
    </row>
    <row r="14" spans="1:32"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1"/>
      <c r="T14" s="31"/>
      <c r="U14" s="31"/>
      <c r="V14" s="31"/>
    </row>
    <row r="15" spans="1:32" x14ac:dyDescent="0.2">
      <c r="Y15" s="23"/>
      <c r="Z15" s="23"/>
      <c r="AA15" s="23"/>
      <c r="AB15" s="23"/>
      <c r="AC15" s="23"/>
      <c r="AD15" s="23"/>
      <c r="AE15" s="23"/>
      <c r="AF15" s="23"/>
    </row>
    <row r="16" spans="1:32" s="22" customFormat="1" x14ac:dyDescent="0.2">
      <c r="A16" s="30" t="s">
        <v>31</v>
      </c>
      <c r="B16" s="29">
        <f>525+39</f>
        <v>564</v>
      </c>
      <c r="C16" s="29">
        <f>1779+146-D16-E16-F16</f>
        <v>557</v>
      </c>
      <c r="D16" s="29">
        <f>1268+100-E16-F16</f>
        <v>554</v>
      </c>
      <c r="E16" s="29">
        <f>761+53-F16</f>
        <v>392</v>
      </c>
      <c r="F16" s="29">
        <f>395+27</f>
        <v>422</v>
      </c>
      <c r="G16" s="29">
        <f>1987-24+112-H16-I16-J16</f>
        <v>611</v>
      </c>
      <c r="H16" s="29">
        <f>1380+84-I16-J16</f>
        <v>505</v>
      </c>
      <c r="I16" s="29">
        <f>905+54-J16</f>
        <v>504</v>
      </c>
      <c r="J16" s="29">
        <f>429+26</f>
        <v>455</v>
      </c>
      <c r="K16" s="29">
        <f>1765+137-L16-M16-N16</f>
        <v>526</v>
      </c>
      <c r="L16" s="29">
        <f>1273+103-M16-N16</f>
        <v>485</v>
      </c>
      <c r="M16" s="29">
        <f>820+71-N16</f>
        <v>454</v>
      </c>
      <c r="N16" s="29">
        <f>400+37</f>
        <v>437</v>
      </c>
      <c r="O16" s="29">
        <f>1760+253-R16-Q16-P16</f>
        <v>541</v>
      </c>
      <c r="P16" s="29">
        <f>1277+195-R16-Q16</f>
        <v>502</v>
      </c>
      <c r="Q16" s="29">
        <f>835+135-R16</f>
        <v>510</v>
      </c>
      <c r="R16" s="29">
        <f>390+70</f>
        <v>460</v>
      </c>
      <c r="S16" s="29">
        <f>1619+310-V16-U16-T16</f>
        <v>564</v>
      </c>
      <c r="T16" s="29">
        <f>1141+224-V16-U16</f>
        <v>485</v>
      </c>
      <c r="U16" s="29">
        <f>733+147-V16</f>
        <v>449</v>
      </c>
      <c r="V16" s="29">
        <f>358+73</f>
        <v>431</v>
      </c>
      <c r="Y16" s="23"/>
      <c r="Z16" s="23"/>
      <c r="AA16" s="23"/>
      <c r="AB16" s="23"/>
      <c r="AC16" s="23"/>
      <c r="AD16" s="23"/>
      <c r="AE16" s="23"/>
      <c r="AF16" s="23"/>
    </row>
    <row r="17" spans="1:32" s="28" customFormat="1" x14ac:dyDescent="0.2">
      <c r="A17" s="28" t="s">
        <v>30</v>
      </c>
      <c r="B17" s="28">
        <f t="shared" ref="B17:C17" si="2">+B16/B12</f>
        <v>0.37954239569313591</v>
      </c>
      <c r="C17" s="28">
        <f t="shared" si="2"/>
        <v>0.31956397016637983</v>
      </c>
      <c r="D17" s="28">
        <f t="shared" ref="D17:E17" si="3">+D16/D12</f>
        <v>0.38259668508287292</v>
      </c>
      <c r="E17" s="28">
        <f t="shared" si="3"/>
        <v>0.32721202003338901</v>
      </c>
      <c r="F17" s="28">
        <f t="shared" ref="F17:G17" si="4">+F16/F12</f>
        <v>0.33412509897070469</v>
      </c>
      <c r="G17" s="28">
        <f t="shared" si="4"/>
        <v>0.36068476977567887</v>
      </c>
      <c r="H17" s="28">
        <f t="shared" ref="H17:I17" si="5">+H16/H12</f>
        <v>0.37714712471994027</v>
      </c>
      <c r="I17" s="28">
        <f t="shared" si="5"/>
        <v>0.38473282442748091</v>
      </c>
      <c r="J17" s="28">
        <f t="shared" ref="J17:K17" si="6">+J16/J12</f>
        <v>0.36283891547049441</v>
      </c>
      <c r="K17" s="28">
        <f t="shared" si="6"/>
        <v>0.33761232349165599</v>
      </c>
      <c r="L17" s="28">
        <f t="shared" ref="L17:V17" si="7">+L16/L12</f>
        <v>0.34867002156721782</v>
      </c>
      <c r="M17" s="28">
        <f t="shared" si="7"/>
        <v>0.33187134502923976</v>
      </c>
      <c r="N17" s="28">
        <f t="shared" si="7"/>
        <v>0.3187454412837345</v>
      </c>
      <c r="O17" s="28">
        <f t="shared" si="7"/>
        <v>0.34305643627140142</v>
      </c>
      <c r="P17" s="28">
        <f t="shared" si="7"/>
        <v>0.34958217270194986</v>
      </c>
      <c r="Q17" s="28">
        <f t="shared" si="7"/>
        <v>0.35220994475138123</v>
      </c>
      <c r="R17" s="28">
        <f t="shared" si="7"/>
        <v>0.32462949894142556</v>
      </c>
      <c r="S17" s="28">
        <f t="shared" si="7"/>
        <v>0.29904559915164369</v>
      </c>
      <c r="T17" s="28">
        <f t="shared" si="7"/>
        <v>0.31949934123847168</v>
      </c>
      <c r="U17" s="28">
        <f t="shared" si="7"/>
        <v>0.29754804506295562</v>
      </c>
      <c r="V17" s="28">
        <f t="shared" si="7"/>
        <v>0.29868329868329868</v>
      </c>
      <c r="Y17" s="23"/>
      <c r="Z17" s="23"/>
      <c r="AA17" s="23"/>
      <c r="AB17" s="23"/>
      <c r="AC17" s="23"/>
      <c r="AD17" s="23"/>
      <c r="AE17" s="23"/>
      <c r="AF17" s="23"/>
    </row>
    <row r="18" spans="1:32" s="23" customFormat="1" x14ac:dyDescent="0.2"/>
    <row r="19" spans="1:32"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row>
    <row r="20" spans="1:32"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row>
    <row r="21" spans="1:32"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row>
    <row r="22" spans="1:32" s="22" customFormat="1" x14ac:dyDescent="0.2">
      <c r="A22" s="22" t="s">
        <v>23</v>
      </c>
      <c r="B22" s="20">
        <f t="shared" ref="B22:C22" si="8">SUM(B16,B19:B21)</f>
        <v>564</v>
      </c>
      <c r="C22" s="20">
        <f t="shared" si="8"/>
        <v>557</v>
      </c>
      <c r="D22" s="20">
        <f t="shared" ref="D22:E22" si="9">SUM(D16,D19:D21)</f>
        <v>554</v>
      </c>
      <c r="E22" s="20">
        <f t="shared" si="9"/>
        <v>392</v>
      </c>
      <c r="F22" s="20">
        <f t="shared" ref="F22:G22" si="10">SUM(F16,F19:F21)</f>
        <v>422</v>
      </c>
      <c r="G22" s="20">
        <f t="shared" si="10"/>
        <v>611</v>
      </c>
      <c r="H22" s="20">
        <f t="shared" ref="H22:I22" si="11">SUM(H16,H19:H21)</f>
        <v>505</v>
      </c>
      <c r="I22" s="20">
        <f t="shared" si="11"/>
        <v>504</v>
      </c>
      <c r="J22" s="20">
        <f t="shared" ref="J22:K22" si="12">SUM(J16,J19:J21)</f>
        <v>455</v>
      </c>
      <c r="K22" s="20">
        <f t="shared" si="12"/>
        <v>526</v>
      </c>
      <c r="L22" s="20">
        <f t="shared" ref="L22:V22" si="13">SUM(L16,L19:L21)</f>
        <v>485</v>
      </c>
      <c r="M22" s="20">
        <f t="shared" si="13"/>
        <v>454</v>
      </c>
      <c r="N22" s="20">
        <f t="shared" si="13"/>
        <v>437</v>
      </c>
      <c r="O22" s="20">
        <f t="shared" si="13"/>
        <v>541</v>
      </c>
      <c r="P22" s="20">
        <f t="shared" si="13"/>
        <v>502</v>
      </c>
      <c r="Q22" s="20">
        <f t="shared" si="13"/>
        <v>510</v>
      </c>
      <c r="R22" s="20">
        <f t="shared" si="13"/>
        <v>460</v>
      </c>
      <c r="S22" s="20">
        <f t="shared" si="13"/>
        <v>564</v>
      </c>
      <c r="T22" s="20">
        <f t="shared" si="13"/>
        <v>485</v>
      </c>
      <c r="U22" s="20">
        <f t="shared" si="13"/>
        <v>449</v>
      </c>
      <c r="V22" s="20">
        <f t="shared" si="13"/>
        <v>431</v>
      </c>
      <c r="Y22" s="23"/>
      <c r="Z22" s="23"/>
      <c r="AA22" s="23"/>
      <c r="AB22" s="23"/>
      <c r="AC22" s="23"/>
      <c r="AD22" s="23"/>
      <c r="AE22" s="23"/>
      <c r="AF22" s="23"/>
    </row>
    <row r="23" spans="1:32" s="22" customFormat="1" x14ac:dyDescent="0.2">
      <c r="B23" s="132"/>
      <c r="C23" s="132"/>
      <c r="D23" s="28"/>
      <c r="E23" s="28"/>
      <c r="F23" s="28"/>
      <c r="G23" s="28"/>
      <c r="H23" s="28"/>
      <c r="I23" s="28"/>
      <c r="J23" s="28"/>
      <c r="K23" s="28"/>
      <c r="L23" s="20"/>
      <c r="M23" s="20"/>
      <c r="N23" s="20"/>
      <c r="O23" s="20"/>
      <c r="P23" s="20"/>
      <c r="Q23" s="20"/>
      <c r="R23" s="20"/>
      <c r="S23" s="20"/>
      <c r="T23" s="20"/>
      <c r="U23" s="20"/>
      <c r="V23" s="20"/>
      <c r="Y23" s="23"/>
      <c r="Z23" s="23"/>
      <c r="AA23" s="23"/>
      <c r="AB23" s="23"/>
      <c r="AC23" s="23"/>
      <c r="AD23" s="23"/>
      <c r="AE23" s="23"/>
      <c r="AF23" s="23"/>
    </row>
    <row r="24" spans="1:32" s="22" customFormat="1" x14ac:dyDescent="0.2">
      <c r="A24" s="22" t="s">
        <v>27</v>
      </c>
      <c r="B24" s="20">
        <f t="shared" ref="B24:S24" si="14">SUM(B22:E22)</f>
        <v>2067</v>
      </c>
      <c r="C24" s="20">
        <f t="shared" si="14"/>
        <v>1925</v>
      </c>
      <c r="D24" s="20">
        <f t="shared" si="14"/>
        <v>1979</v>
      </c>
      <c r="E24" s="20">
        <f t="shared" si="14"/>
        <v>1930</v>
      </c>
      <c r="F24" s="20">
        <f t="shared" si="14"/>
        <v>2042</v>
      </c>
      <c r="G24" s="20">
        <f t="shared" si="14"/>
        <v>2075</v>
      </c>
      <c r="H24" s="20">
        <f t="shared" si="14"/>
        <v>1990</v>
      </c>
      <c r="I24" s="20">
        <f t="shared" si="14"/>
        <v>1970</v>
      </c>
      <c r="J24" s="20">
        <f t="shared" si="14"/>
        <v>1920</v>
      </c>
      <c r="K24" s="20">
        <f t="shared" si="14"/>
        <v>1902</v>
      </c>
      <c r="L24" s="20">
        <f t="shared" si="14"/>
        <v>1917</v>
      </c>
      <c r="M24" s="20">
        <f t="shared" si="14"/>
        <v>1934</v>
      </c>
      <c r="N24" s="20">
        <f t="shared" si="14"/>
        <v>1990</v>
      </c>
      <c r="O24" s="20">
        <f t="shared" si="14"/>
        <v>2013</v>
      </c>
      <c r="P24" s="20">
        <f t="shared" si="14"/>
        <v>2036</v>
      </c>
      <c r="Q24" s="20">
        <f t="shared" si="14"/>
        <v>2019</v>
      </c>
      <c r="R24" s="20">
        <f t="shared" si="14"/>
        <v>1958</v>
      </c>
      <c r="S24" s="20">
        <f t="shared" si="14"/>
        <v>1929</v>
      </c>
      <c r="T24" s="20"/>
      <c r="U24" s="20"/>
      <c r="V24" s="20"/>
      <c r="Y24" s="23"/>
      <c r="Z24" s="23"/>
      <c r="AA24" s="23"/>
      <c r="AB24" s="23"/>
      <c r="AC24" s="23"/>
      <c r="AD24" s="23"/>
      <c r="AE24" s="23"/>
      <c r="AF24" s="23"/>
    </row>
    <row r="25" spans="1:32" s="23" customFormat="1" x14ac:dyDescent="0.2">
      <c r="A25" s="15" t="s">
        <v>26</v>
      </c>
      <c r="B25" s="27">
        <v>0</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c r="U25" s="27"/>
      <c r="V25" s="27"/>
    </row>
    <row r="26" spans="1:32"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6"/>
      <c r="U26" s="26"/>
      <c r="V26" s="26"/>
    </row>
    <row r="27" spans="1:32" s="24" customFormat="1" x14ac:dyDescent="0.2">
      <c r="A27" s="22" t="s">
        <v>24</v>
      </c>
      <c r="B27" s="20">
        <f t="shared" ref="B27:C27" si="15">SUM(B24:B26)</f>
        <v>2067</v>
      </c>
      <c r="C27" s="20">
        <f t="shared" si="15"/>
        <v>1925</v>
      </c>
      <c r="D27" s="20">
        <f t="shared" ref="D27:E27" si="16">SUM(D24:D26)</f>
        <v>1979</v>
      </c>
      <c r="E27" s="20">
        <f t="shared" si="16"/>
        <v>1930</v>
      </c>
      <c r="F27" s="20">
        <f t="shared" ref="F27:G27" si="17">SUM(F24:F26)</f>
        <v>2042</v>
      </c>
      <c r="G27" s="20">
        <f t="shared" si="17"/>
        <v>2075</v>
      </c>
      <c r="H27" s="20">
        <f t="shared" ref="H27:I27" si="18">SUM(H24:H26)</f>
        <v>1990</v>
      </c>
      <c r="I27" s="20">
        <f t="shared" si="18"/>
        <v>1970</v>
      </c>
      <c r="J27" s="20">
        <f t="shared" ref="J27:K27" si="19">SUM(J24:J26)</f>
        <v>1920</v>
      </c>
      <c r="K27" s="20">
        <f t="shared" si="19"/>
        <v>1902</v>
      </c>
      <c r="L27" s="20">
        <f t="shared" ref="L27:S27" si="20">SUM(L24:L26)</f>
        <v>1917</v>
      </c>
      <c r="M27" s="20">
        <f t="shared" si="20"/>
        <v>1934</v>
      </c>
      <c r="N27" s="20">
        <f t="shared" si="20"/>
        <v>1990</v>
      </c>
      <c r="O27" s="20">
        <f t="shared" si="20"/>
        <v>2013</v>
      </c>
      <c r="P27" s="20">
        <f t="shared" si="20"/>
        <v>2036</v>
      </c>
      <c r="Q27" s="20">
        <f t="shared" si="20"/>
        <v>2019</v>
      </c>
      <c r="R27" s="20">
        <f t="shared" si="20"/>
        <v>1958</v>
      </c>
      <c r="S27" s="20">
        <f t="shared" si="20"/>
        <v>1929</v>
      </c>
      <c r="T27" s="25"/>
      <c r="U27" s="25"/>
      <c r="V27" s="25"/>
      <c r="Y27" s="23"/>
      <c r="Z27" s="23"/>
      <c r="AA27" s="23"/>
      <c r="AB27" s="23"/>
      <c r="AC27" s="23"/>
      <c r="AD27" s="23"/>
      <c r="AE27" s="23"/>
      <c r="AF27" s="23"/>
    </row>
    <row r="28" spans="1:32" s="23" customFormat="1" x14ac:dyDescent="0.2"/>
    <row r="29" spans="1:32" s="22" customFormat="1" x14ac:dyDescent="0.2">
      <c r="A29" s="22" t="s">
        <v>23</v>
      </c>
      <c r="B29" s="20">
        <f t="shared" ref="B29" si="21">B22</f>
        <v>564</v>
      </c>
      <c r="C29" s="20">
        <f t="shared" ref="C29:D29" si="22">C22</f>
        <v>557</v>
      </c>
      <c r="D29" s="20">
        <f t="shared" si="22"/>
        <v>554</v>
      </c>
      <c r="E29" s="20">
        <f t="shared" ref="E29:F29" si="23">E22</f>
        <v>392</v>
      </c>
      <c r="F29" s="20">
        <f t="shared" si="23"/>
        <v>422</v>
      </c>
      <c r="G29" s="20">
        <f t="shared" ref="G29:I29" si="24">G22</f>
        <v>611</v>
      </c>
      <c r="H29" s="20">
        <f t="shared" si="24"/>
        <v>505</v>
      </c>
      <c r="I29" s="20">
        <f t="shared" si="24"/>
        <v>504</v>
      </c>
      <c r="J29" s="20">
        <f t="shared" ref="J29:K29" si="25">J22</f>
        <v>455</v>
      </c>
      <c r="K29" s="20">
        <f t="shared" si="25"/>
        <v>526</v>
      </c>
      <c r="L29" s="20">
        <f t="shared" ref="L29:V29" si="26">L22</f>
        <v>485</v>
      </c>
      <c r="M29" s="20">
        <f t="shared" si="26"/>
        <v>454</v>
      </c>
      <c r="N29" s="20">
        <f t="shared" si="26"/>
        <v>437</v>
      </c>
      <c r="O29" s="20">
        <f t="shared" si="26"/>
        <v>541</v>
      </c>
      <c r="P29" s="20">
        <f t="shared" si="26"/>
        <v>502</v>
      </c>
      <c r="Q29" s="20">
        <f t="shared" si="26"/>
        <v>510</v>
      </c>
      <c r="R29" s="20">
        <f t="shared" si="26"/>
        <v>460</v>
      </c>
      <c r="S29" s="20">
        <f t="shared" si="26"/>
        <v>564</v>
      </c>
      <c r="T29" s="20">
        <f t="shared" si="26"/>
        <v>485</v>
      </c>
      <c r="U29" s="20">
        <f t="shared" si="26"/>
        <v>449</v>
      </c>
      <c r="V29" s="20">
        <f t="shared" si="26"/>
        <v>431</v>
      </c>
      <c r="Y29" s="23"/>
      <c r="Z29" s="23"/>
      <c r="AA29" s="23"/>
      <c r="AB29" s="23"/>
      <c r="AC29" s="23"/>
      <c r="AD29" s="23"/>
      <c r="AE29" s="23"/>
      <c r="AF29" s="23"/>
    </row>
    <row r="30" spans="1:32" s="11" customFormat="1" x14ac:dyDescent="0.2">
      <c r="A30" s="19" t="s">
        <v>22</v>
      </c>
      <c r="B30" s="19">
        <v>-88</v>
      </c>
      <c r="C30" s="19">
        <f>-480-D30-E30-F30</f>
        <v>-151</v>
      </c>
      <c r="D30" s="19">
        <f>-329-E30-F30</f>
        <v>-86</v>
      </c>
      <c r="E30" s="19">
        <f>-243-F30</f>
        <v>-171</v>
      </c>
      <c r="F30" s="19">
        <v>-72</v>
      </c>
      <c r="G30" s="19">
        <f>-497-H30-I30-J30</f>
        <v>-173</v>
      </c>
      <c r="H30" s="19">
        <f>-324-I30-J30</f>
        <v>-71</v>
      </c>
      <c r="I30" s="19">
        <f>-253-J30</f>
        <v>-181</v>
      </c>
      <c r="J30" s="19">
        <v>-72</v>
      </c>
      <c r="K30" s="19">
        <f>-455-L30-M30-N30</f>
        <v>-155</v>
      </c>
      <c r="L30" s="19">
        <f>-300-M30-N30</f>
        <v>-64</v>
      </c>
      <c r="M30" s="19">
        <f>-236-N30</f>
        <v>-165</v>
      </c>
      <c r="N30" s="19">
        <v>-71</v>
      </c>
      <c r="O30" s="19">
        <f>-442-R30-Q30-P30</f>
        <v>-167</v>
      </c>
      <c r="P30" s="19">
        <f>-275-R30-Q30</f>
        <v>-68</v>
      </c>
      <c r="Q30" s="19">
        <f>-207-R30</f>
        <v>-139</v>
      </c>
      <c r="R30" s="19">
        <v>-68</v>
      </c>
      <c r="S30" s="19">
        <f>-305-V30-U30-T30</f>
        <v>-155</v>
      </c>
      <c r="T30" s="19">
        <f>-150-V30-U30</f>
        <v>-70</v>
      </c>
      <c r="U30" s="19">
        <f>-80-V30</f>
        <v>-55</v>
      </c>
      <c r="V30" s="19">
        <v>-25</v>
      </c>
      <c r="Y30" s="23"/>
      <c r="Z30" s="23"/>
      <c r="AA30" s="23"/>
      <c r="AB30" s="23"/>
      <c r="AC30" s="23"/>
      <c r="AD30" s="23"/>
      <c r="AE30" s="23"/>
      <c r="AF30" s="23"/>
    </row>
    <row r="31" spans="1:32" s="11" customFormat="1" x14ac:dyDescent="0.2">
      <c r="A31" s="19" t="s">
        <v>21</v>
      </c>
      <c r="B31" s="19">
        <f>-83+14+5</f>
        <v>-64</v>
      </c>
      <c r="C31" s="19">
        <f>-328-D31-E31-F31</f>
        <v>-48</v>
      </c>
      <c r="D31" s="19">
        <f>-96-32-152-E31-F31</f>
        <v>-168</v>
      </c>
      <c r="E31" s="19">
        <f>-63-49-F31</f>
        <v>-58</v>
      </c>
      <c r="F31" s="19">
        <f>-12-31-11</f>
        <v>-54</v>
      </c>
      <c r="G31" s="19">
        <f>-283-H31-I31-J31</f>
        <v>-39</v>
      </c>
      <c r="H31" s="19">
        <f>-170-10-64-I31-J31</f>
        <v>-83</v>
      </c>
      <c r="I31" s="19">
        <f>-125-36-J31</f>
        <v>-118</v>
      </c>
      <c r="J31" s="19">
        <f>-37-1-5</f>
        <v>-43</v>
      </c>
      <c r="K31" s="19">
        <f>-279-L31-M31-N31</f>
        <v>-72</v>
      </c>
      <c r="L31" s="19">
        <f>-192+32-47-M31-N31</f>
        <v>-57</v>
      </c>
      <c r="M31" s="19">
        <f>-112-23-15-N31</f>
        <v>-86</v>
      </c>
      <c r="N31" s="19">
        <f>-76-1+13</f>
        <v>-64</v>
      </c>
      <c r="O31" s="19">
        <f>-346-P31-Q31-R31</f>
        <v>-65</v>
      </c>
      <c r="P31" s="19">
        <f>-278+122-125-R31-Q31</f>
        <v>-36</v>
      </c>
      <c r="Q31" s="19">
        <f>-172+10-83-R31</f>
        <v>-210</v>
      </c>
      <c r="R31" s="19">
        <f>-67+20+12</f>
        <v>-35</v>
      </c>
      <c r="S31" s="19">
        <f>-327+28-V31-U31-T31</f>
        <v>-65</v>
      </c>
      <c r="T31" s="19">
        <f>-263+29-V31-U31</f>
        <v>-35</v>
      </c>
      <c r="U31" s="19">
        <f>-180-19-V31</f>
        <v>-112</v>
      </c>
      <c r="V31" s="19">
        <f>-82-5</f>
        <v>-87</v>
      </c>
      <c r="Y31" s="23"/>
      <c r="Z31" s="23"/>
      <c r="AA31" s="23"/>
      <c r="AB31" s="23"/>
      <c r="AC31" s="23"/>
      <c r="AD31" s="23"/>
      <c r="AE31" s="23"/>
      <c r="AF31" s="23"/>
    </row>
    <row r="32" spans="1:32" s="11" customFormat="1" x14ac:dyDescent="0.2">
      <c r="A32" s="19" t="s">
        <v>20</v>
      </c>
      <c r="B32" s="19">
        <f>27-9-123</f>
        <v>-105</v>
      </c>
      <c r="C32" s="19">
        <f>62+8+128-D32-E32-F32</f>
        <v>36</v>
      </c>
      <c r="D32" s="19">
        <f>46+11+105-E32-F32</f>
        <v>260</v>
      </c>
      <c r="E32" s="19">
        <f>4-26-76-F32</f>
        <v>-55</v>
      </c>
      <c r="F32" s="19">
        <f>25-17-51</f>
        <v>-43</v>
      </c>
      <c r="G32" s="19">
        <f>-56-8-36-H32-I32-J32</f>
        <v>9</v>
      </c>
      <c r="H32" s="19">
        <f>-4-9-96-I32-J32</f>
        <v>79</v>
      </c>
      <c r="I32" s="19">
        <f>7-24-171-J32</f>
        <v>-139</v>
      </c>
      <c r="J32" s="19">
        <f>14-13-50</f>
        <v>-49</v>
      </c>
      <c r="K32" s="19">
        <f>-66-68-L32-M32-N32</f>
        <v>-28</v>
      </c>
      <c r="L32" s="19">
        <f>-35+10-81-M32-N32</f>
        <v>65</v>
      </c>
      <c r="M32" s="19">
        <f>-15+4-160-N32</f>
        <v>-54</v>
      </c>
      <c r="N32" s="19">
        <f>4-22-99</f>
        <v>-117</v>
      </c>
      <c r="O32" s="19">
        <f>-19-10-173-P32-Q32-R32</f>
        <v>-44</v>
      </c>
      <c r="P32" s="19">
        <f>17-7-168-R32-Q32</f>
        <v>-54</v>
      </c>
      <c r="Q32" s="19">
        <f>30+3-137-R32</f>
        <v>-73</v>
      </c>
      <c r="R32" s="19">
        <f>18-1-48</f>
        <v>-31</v>
      </c>
      <c r="S32" s="19">
        <f>-23+1+12-53-V32-U32-T32</f>
        <v>-65</v>
      </c>
      <c r="T32" s="19">
        <f>31+6+19-54-V32-U32</f>
        <v>15</v>
      </c>
      <c r="U32" s="19">
        <f>34+4+15-66-V32</f>
        <v>27</v>
      </c>
      <c r="V32" s="19">
        <f>45+2+6-93</f>
        <v>-40</v>
      </c>
      <c r="Y32" s="23"/>
      <c r="Z32" s="23"/>
      <c r="AA32" s="23"/>
      <c r="AB32" s="23"/>
      <c r="AC32" s="23"/>
      <c r="AD32" s="23"/>
      <c r="AE32" s="23"/>
      <c r="AF32" s="23"/>
    </row>
    <row r="33" spans="1:33"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Y33" s="23"/>
      <c r="Z33" s="23"/>
      <c r="AA33" s="23"/>
      <c r="AB33" s="23"/>
      <c r="AC33" s="23"/>
      <c r="AD33" s="23"/>
      <c r="AE33" s="23"/>
      <c r="AF33" s="23"/>
    </row>
    <row r="34" spans="1:33" s="11" customFormat="1" x14ac:dyDescent="0.2">
      <c r="A34" s="19" t="s">
        <v>18</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Y34" s="23"/>
      <c r="Z34" s="80" t="s">
        <v>250</v>
      </c>
      <c r="AA34" s="23"/>
      <c r="AB34" s="23"/>
      <c r="AC34" s="23"/>
      <c r="AD34" s="23"/>
      <c r="AE34" s="23"/>
      <c r="AF34" s="23"/>
    </row>
    <row r="35" spans="1:33" s="20" customFormat="1" x14ac:dyDescent="0.2">
      <c r="A35" s="20" t="s">
        <v>17</v>
      </c>
      <c r="B35" s="20">
        <v>324</v>
      </c>
      <c r="C35" s="20">
        <f>1305-D35-E35-F35</f>
        <v>452</v>
      </c>
      <c r="D35" s="20">
        <f>853-E35-F35</f>
        <v>491</v>
      </c>
      <c r="E35" s="20">
        <f>362-F35</f>
        <v>124</v>
      </c>
      <c r="F35" s="20">
        <v>238</v>
      </c>
      <c r="G35" s="20">
        <f>1315-H35-J35-I35</f>
        <v>432</v>
      </c>
      <c r="H35" s="20">
        <f>883-I35-J35</f>
        <v>422</v>
      </c>
      <c r="I35" s="20">
        <f>461-J35</f>
        <v>161</v>
      </c>
      <c r="J35" s="20">
        <v>300</v>
      </c>
      <c r="K35" s="20">
        <f>1176-L35-M35-N35</f>
        <v>380</v>
      </c>
      <c r="L35" s="20">
        <f>796-M35-N35</f>
        <v>415</v>
      </c>
      <c r="M35" s="20">
        <f>381-N35</f>
        <v>192</v>
      </c>
      <c r="N35" s="20">
        <v>189</v>
      </c>
      <c r="O35" s="20">
        <f>1030-R35-Q35-P35</f>
        <v>312</v>
      </c>
      <c r="P35" s="20">
        <f>718-R35-Q35</f>
        <v>279</v>
      </c>
      <c r="Q35" s="20">
        <f>439-R35</f>
        <v>151</v>
      </c>
      <c r="R35" s="20">
        <v>288</v>
      </c>
      <c r="S35" s="20">
        <f>1248-V35-U35-T35</f>
        <v>312</v>
      </c>
      <c r="T35" s="20">
        <f>936-V35-U35</f>
        <v>349</v>
      </c>
      <c r="U35" s="20">
        <f>587-V35</f>
        <v>278</v>
      </c>
      <c r="V35" s="20">
        <v>309</v>
      </c>
      <c r="Y35" s="23"/>
      <c r="Z35" s="23"/>
      <c r="AA35" s="23"/>
      <c r="AB35" s="23"/>
      <c r="AC35" s="23"/>
      <c r="AD35" s="23"/>
      <c r="AE35" s="23"/>
      <c r="AF35" s="23"/>
    </row>
    <row r="36" spans="1:33" s="11" customFormat="1" x14ac:dyDescent="0.2">
      <c r="A36" s="19" t="s">
        <v>16</v>
      </c>
      <c r="B36" s="21">
        <v>-45</v>
      </c>
      <c r="C36" s="21">
        <f>-160-D36-E36-F36</f>
        <v>-61</v>
      </c>
      <c r="D36" s="21">
        <f>-99-E36-F36</f>
        <v>-32</v>
      </c>
      <c r="E36" s="21">
        <f>-67-F36</f>
        <v>-32</v>
      </c>
      <c r="F36" s="21">
        <v>-35</v>
      </c>
      <c r="G36" s="21">
        <f>-196-H36-I36-J36</f>
        <v>-87</v>
      </c>
      <c r="H36" s="21">
        <f>-109-I36-J36</f>
        <v>-33</v>
      </c>
      <c r="I36" s="21">
        <f>-76-J36</f>
        <v>-32</v>
      </c>
      <c r="J36" s="21">
        <v>-44</v>
      </c>
      <c r="K36" s="21">
        <f>-234-L36-M36-N36</f>
        <v>-87</v>
      </c>
      <c r="L36" s="21">
        <f>-147-M36-N36</f>
        <v>-62</v>
      </c>
      <c r="M36" s="21">
        <f>-85-N36</f>
        <v>-43</v>
      </c>
      <c r="N36" s="21">
        <v>-42</v>
      </c>
      <c r="O36" s="21">
        <f>-318-R36-Q36-P36</f>
        <v>-90</v>
      </c>
      <c r="P36" s="21">
        <f>-228-R36-Q36</f>
        <v>-78</v>
      </c>
      <c r="Q36" s="21">
        <f>-150-R36</f>
        <v>-74</v>
      </c>
      <c r="R36" s="21">
        <v>-76</v>
      </c>
      <c r="S36" s="21">
        <f>-427-V36-U36-T36</f>
        <v>-135</v>
      </c>
      <c r="T36" s="21">
        <f>-292-V36-U36</f>
        <v>-106</v>
      </c>
      <c r="U36" s="21">
        <f>-186-V36</f>
        <v>-106</v>
      </c>
      <c r="V36" s="21">
        <v>-80</v>
      </c>
      <c r="Y36" s="23"/>
      <c r="Z36" s="81" t="s">
        <v>251</v>
      </c>
      <c r="AA36" s="81"/>
      <c r="AB36" s="81"/>
      <c r="AC36" s="81"/>
      <c r="AD36" s="81"/>
      <c r="AE36" s="81"/>
      <c r="AF36" s="81"/>
      <c r="AG36" s="82"/>
    </row>
    <row r="37" spans="1:33" s="20" customFormat="1" x14ac:dyDescent="0.2">
      <c r="A37" s="20" t="s">
        <v>15</v>
      </c>
      <c r="B37" s="20">
        <f t="shared" ref="B37:V37" si="27">+B35+B36</f>
        <v>279</v>
      </c>
      <c r="C37" s="20">
        <f t="shared" si="27"/>
        <v>391</v>
      </c>
      <c r="D37" s="20">
        <f t="shared" si="27"/>
        <v>459</v>
      </c>
      <c r="E37" s="20">
        <f t="shared" si="27"/>
        <v>92</v>
      </c>
      <c r="F37" s="20">
        <f t="shared" si="27"/>
        <v>203</v>
      </c>
      <c r="G37" s="20">
        <f t="shared" si="27"/>
        <v>345</v>
      </c>
      <c r="H37" s="20">
        <f t="shared" si="27"/>
        <v>389</v>
      </c>
      <c r="I37" s="20">
        <f t="shared" si="27"/>
        <v>129</v>
      </c>
      <c r="J37" s="20">
        <f t="shared" si="27"/>
        <v>256</v>
      </c>
      <c r="K37" s="20">
        <f t="shared" si="27"/>
        <v>293</v>
      </c>
      <c r="L37" s="20">
        <f t="shared" si="27"/>
        <v>353</v>
      </c>
      <c r="M37" s="20">
        <f t="shared" si="27"/>
        <v>149</v>
      </c>
      <c r="N37" s="20">
        <f t="shared" si="27"/>
        <v>147</v>
      </c>
      <c r="O37" s="20">
        <f t="shared" si="27"/>
        <v>222</v>
      </c>
      <c r="P37" s="20">
        <f t="shared" si="27"/>
        <v>201</v>
      </c>
      <c r="Q37" s="20">
        <f t="shared" si="27"/>
        <v>77</v>
      </c>
      <c r="R37" s="20">
        <f t="shared" si="27"/>
        <v>212</v>
      </c>
      <c r="S37" s="20">
        <f t="shared" si="27"/>
        <v>177</v>
      </c>
      <c r="T37" s="20">
        <f t="shared" si="27"/>
        <v>243</v>
      </c>
      <c r="U37" s="20">
        <f t="shared" si="27"/>
        <v>172</v>
      </c>
      <c r="V37" s="20">
        <f t="shared" si="27"/>
        <v>229</v>
      </c>
      <c r="Y37" s="23"/>
      <c r="Z37" s="83" t="s">
        <v>252</v>
      </c>
      <c r="AA37" s="83"/>
      <c r="AB37" s="83"/>
      <c r="AC37" s="84" t="s">
        <v>253</v>
      </c>
      <c r="AD37" s="83" t="s">
        <v>254</v>
      </c>
      <c r="AE37" s="83"/>
      <c r="AF37" s="83"/>
      <c r="AG37" s="85" t="s">
        <v>253</v>
      </c>
    </row>
    <row r="38" spans="1:33" x14ac:dyDescent="0.2">
      <c r="Y38" s="23"/>
      <c r="Z38" s="86" t="s">
        <v>255</v>
      </c>
      <c r="AC38" s="87">
        <v>825</v>
      </c>
      <c r="AD38" s="86" t="s">
        <v>256</v>
      </c>
      <c r="AG38" s="87">
        <v>788</v>
      </c>
    </row>
    <row r="39" spans="1:33" s="16" customFormat="1" x14ac:dyDescent="0.2">
      <c r="A39" s="18" t="s">
        <v>14</v>
      </c>
      <c r="B39" s="19">
        <v>0</v>
      </c>
      <c r="C39" s="19">
        <v>0</v>
      </c>
      <c r="D39" s="19">
        <v>0</v>
      </c>
      <c r="E39" s="19">
        <v>575</v>
      </c>
      <c r="F39" s="19">
        <v>950</v>
      </c>
      <c r="G39" s="19">
        <v>0</v>
      </c>
      <c r="H39" s="19">
        <v>0</v>
      </c>
      <c r="I39" s="19">
        <v>157</v>
      </c>
      <c r="J39" s="19">
        <v>0</v>
      </c>
      <c r="K39" s="19">
        <v>0</v>
      </c>
      <c r="L39" s="19">
        <f>273-AG39</f>
        <v>0</v>
      </c>
      <c r="M39" s="19">
        <v>202</v>
      </c>
      <c r="N39" s="19">
        <v>0</v>
      </c>
      <c r="O39" s="19">
        <v>0</v>
      </c>
      <c r="P39" s="19">
        <v>35</v>
      </c>
      <c r="Q39" s="19">
        <v>0</v>
      </c>
      <c r="R39" s="19">
        <v>0</v>
      </c>
      <c r="S39" s="19">
        <v>0</v>
      </c>
      <c r="T39" s="19"/>
      <c r="U39" s="19"/>
      <c r="V39" s="19"/>
      <c r="Y39" s="23"/>
      <c r="Z39" s="86" t="s">
        <v>257</v>
      </c>
      <c r="AA39" s="1"/>
      <c r="AB39" s="1"/>
      <c r="AC39" s="87">
        <v>625</v>
      </c>
      <c r="AD39" s="1" t="s">
        <v>258</v>
      </c>
      <c r="AE39" s="1"/>
      <c r="AF39" s="1"/>
      <c r="AG39" s="87">
        <v>273</v>
      </c>
    </row>
    <row r="40" spans="1:33" s="16" customFormat="1" x14ac:dyDescent="0.2">
      <c r="A40" s="18" t="s">
        <v>13</v>
      </c>
      <c r="B40" s="19">
        <v>5191</v>
      </c>
      <c r="C40" s="19">
        <f>2869+431+1916+72</f>
        <v>5288</v>
      </c>
      <c r="D40" s="19">
        <f>2876+441+1920+71</f>
        <v>5308</v>
      </c>
      <c r="E40" s="19">
        <f>2883+450+1926+71</f>
        <v>5330</v>
      </c>
      <c r="F40" s="19">
        <f>2891+456+1931+67+10</f>
        <v>5355</v>
      </c>
      <c r="G40" s="19">
        <f>2898+463+1935+77</f>
        <v>5373</v>
      </c>
      <c r="H40" s="19">
        <f>2906+469+1940+69</f>
        <v>5384</v>
      </c>
      <c r="I40" s="19">
        <f>2913+475+1945+69</f>
        <v>5402</v>
      </c>
      <c r="J40" s="19">
        <f>2920+482+1950+71</f>
        <v>5423</v>
      </c>
      <c r="K40" s="19">
        <f>2928+488+1955+71</f>
        <v>5442</v>
      </c>
      <c r="L40" s="19">
        <f>2265+494+1960+80+AC38+AC39-AG38</f>
        <v>5461</v>
      </c>
      <c r="M40" s="19">
        <f>2265+500+1965+95</f>
        <v>4825</v>
      </c>
      <c r="N40" s="19">
        <f>2271+500+1970+103</f>
        <v>4844</v>
      </c>
      <c r="O40" s="19">
        <f>P40</f>
        <v>4876</v>
      </c>
      <c r="P40" s="19">
        <f>2277+500+1980+119</f>
        <v>4876</v>
      </c>
      <c r="Q40" s="19">
        <f>2282+500+1985+128</f>
        <v>4895</v>
      </c>
      <c r="R40" s="19">
        <f>2288+500+1990+122</f>
        <v>4900</v>
      </c>
      <c r="S40" s="19">
        <f>2294+500+1990+120</f>
        <v>4904</v>
      </c>
      <c r="T40" s="19"/>
      <c r="U40" s="19"/>
      <c r="V40" s="19"/>
      <c r="Y40" s="88"/>
      <c r="AC40" s="11"/>
      <c r="AD40" s="16" t="s">
        <v>259</v>
      </c>
      <c r="AG40" s="87">
        <f>AC38+AC39-AG38-AG39</f>
        <v>389</v>
      </c>
    </row>
    <row r="41" spans="1:33" s="16" customFormat="1" ht="13.5" thickBot="1" x14ac:dyDescent="0.25">
      <c r="A41" s="18" t="s">
        <v>12</v>
      </c>
      <c r="B41" s="19">
        <f>+B39+B40+1800+3725</f>
        <v>10716</v>
      </c>
      <c r="C41" s="19">
        <f>+C39+C40+1800+3725</f>
        <v>10813</v>
      </c>
      <c r="D41" s="19">
        <f>D39+D40+1800+4075</f>
        <v>11183</v>
      </c>
      <c r="E41" s="19">
        <f>E39+E40+2850+3025</f>
        <v>11780</v>
      </c>
      <c r="F41" s="19">
        <f>F39+F40+2850+2425</f>
        <v>11580</v>
      </c>
      <c r="G41" s="19">
        <f>G39+G40+2850+2425</f>
        <v>10648</v>
      </c>
      <c r="H41" s="19">
        <f>H39+H40+2850+2425</f>
        <v>10659</v>
      </c>
      <c r="I41" s="19">
        <f t="shared" ref="I41:N41" si="28">I39+I40+2850+1875</f>
        <v>10284</v>
      </c>
      <c r="J41" s="19">
        <f t="shared" si="28"/>
        <v>10148</v>
      </c>
      <c r="K41" s="19">
        <f t="shared" si="28"/>
        <v>10167</v>
      </c>
      <c r="L41" s="19">
        <f t="shared" si="28"/>
        <v>10186</v>
      </c>
      <c r="M41" s="19">
        <f t="shared" si="28"/>
        <v>9752</v>
      </c>
      <c r="N41" s="19">
        <f t="shared" si="28"/>
        <v>9569</v>
      </c>
      <c r="O41" s="19">
        <f>9429+375</f>
        <v>9804</v>
      </c>
      <c r="P41" s="19">
        <f>P39+P40+2850+2200</f>
        <v>9961</v>
      </c>
      <c r="Q41" s="19">
        <f>Q39+Q40+2850+2200</f>
        <v>9945</v>
      </c>
      <c r="R41" s="19">
        <f>R39+R40+2100+2200</f>
        <v>9200</v>
      </c>
      <c r="S41" s="19">
        <f>S39+S40+2100+2200</f>
        <v>9204</v>
      </c>
      <c r="T41" s="19"/>
      <c r="U41" s="19"/>
      <c r="V41" s="19"/>
      <c r="Y41" s="88"/>
      <c r="Z41" s="89"/>
      <c r="AA41" s="89"/>
      <c r="AB41" s="89"/>
      <c r="AC41" s="90">
        <f>SUM(AC38:AC40)</f>
        <v>1450</v>
      </c>
      <c r="AD41" s="89"/>
      <c r="AE41" s="89"/>
      <c r="AF41" s="89"/>
      <c r="AG41" s="90">
        <f>SUM(AG38:AG40)</f>
        <v>1450</v>
      </c>
    </row>
    <row r="42" spans="1:33" s="16" customFormat="1" ht="13.5" thickTop="1" x14ac:dyDescent="0.2">
      <c r="A42" s="18" t="s">
        <v>11</v>
      </c>
      <c r="B42" s="17">
        <f>297901153/1000000*118.91</f>
        <v>35423.426103229998</v>
      </c>
      <c r="C42" s="17">
        <f>300055312/1000000*105.47</f>
        <v>31646.833756640001</v>
      </c>
      <c r="D42" s="17">
        <f>301668133/1000000*94.94</f>
        <v>28640.372547020001</v>
      </c>
      <c r="E42" s="17">
        <f>301399629/1000000*94.83</f>
        <v>28581.726818070001</v>
      </c>
      <c r="F42" s="17">
        <f>300985972/1000000*88.27</f>
        <v>26568.03174844</v>
      </c>
      <c r="G42" s="17">
        <f>300822322/1000000*105.34</f>
        <v>31688.623399479999</v>
      </c>
      <c r="H42" s="17">
        <f>302462172/1000000*98.9</f>
        <v>29913.508810800002</v>
      </c>
      <c r="I42" s="17">
        <f>304285740/1000000*116.94</f>
        <v>35583.174435599998</v>
      </c>
      <c r="J42" s="17">
        <f>305975118/1000000*100.49</f>
        <v>30747.439607820001</v>
      </c>
      <c r="K42" s="17">
        <f>306414175/1000000*93.5</f>
        <v>28649.725362500001</v>
      </c>
      <c r="L42" s="17">
        <f>312301824/1000000*90.41</f>
        <v>28235.207907839998</v>
      </c>
      <c r="M42" s="17">
        <f>323217129/1000000*83.81</f>
        <v>27088.827581490001</v>
      </c>
      <c r="N42" s="17">
        <f>323217129/1000000*83.74</f>
        <v>27066.20238246</v>
      </c>
      <c r="O42" s="17">
        <v>26245</v>
      </c>
      <c r="P42" s="17">
        <f>336993674/1000000*73.5</f>
        <v>24769.035038999999</v>
      </c>
      <c r="Q42" s="17">
        <f>348230475/1000000*73.76</f>
        <v>25685.479836000002</v>
      </c>
      <c r="R42" s="17">
        <f>348230475/1000000*63.9</f>
        <v>22251.927352499999</v>
      </c>
      <c r="S42" s="17">
        <f>353844095/1000000*52.53</f>
        <v>18587.430310349999</v>
      </c>
      <c r="T42" s="17"/>
      <c r="U42" s="17"/>
      <c r="V42" s="17"/>
    </row>
    <row r="43" spans="1:33" x14ac:dyDescent="0.2">
      <c r="B43" s="16"/>
      <c r="C43" s="16"/>
      <c r="D43" s="16"/>
      <c r="E43" s="16"/>
      <c r="F43" s="16"/>
      <c r="G43" s="16"/>
      <c r="H43" s="16"/>
      <c r="I43" s="16"/>
      <c r="J43" s="16"/>
      <c r="K43" s="16"/>
      <c r="L43" s="16"/>
      <c r="M43" s="16"/>
      <c r="N43" s="16"/>
      <c r="O43" s="16"/>
      <c r="P43" s="16"/>
      <c r="Q43" s="16"/>
      <c r="W43" s="16"/>
      <c r="X43" s="16"/>
    </row>
    <row r="44" spans="1:33" x14ac:dyDescent="0.2">
      <c r="A44" s="15" t="s">
        <v>10</v>
      </c>
      <c r="B44" s="27">
        <v>802</v>
      </c>
      <c r="C44" s="27">
        <v>730</v>
      </c>
      <c r="D44" s="27">
        <v>1110</v>
      </c>
      <c r="E44" s="27">
        <v>1243</v>
      </c>
      <c r="F44" s="27">
        <v>1154</v>
      </c>
      <c r="G44" s="27">
        <v>605</v>
      </c>
      <c r="H44" s="27">
        <v>691</v>
      </c>
      <c r="I44" s="27">
        <v>252</v>
      </c>
      <c r="J44" s="27">
        <v>278</v>
      </c>
      <c r="K44" s="27">
        <v>292</v>
      </c>
      <c r="L44" s="27">
        <f>198+AG40</f>
        <v>587</v>
      </c>
      <c r="M44" s="27">
        <v>313</v>
      </c>
      <c r="N44" s="27">
        <v>982</v>
      </c>
      <c r="O44" s="27">
        <v>1522</v>
      </c>
      <c r="P44" s="27">
        <v>980</v>
      </c>
      <c r="Q44" s="27">
        <v>970</v>
      </c>
      <c r="R44" s="27">
        <v>525</v>
      </c>
      <c r="S44" s="27">
        <v>725</v>
      </c>
      <c r="T44" s="14"/>
      <c r="U44" s="14"/>
      <c r="V44" s="14"/>
      <c r="W44" s="16"/>
      <c r="X44" s="16"/>
      <c r="Z44" s="11"/>
    </row>
    <row r="45" spans="1:33" x14ac:dyDescent="0.2">
      <c r="Z45" s="11"/>
    </row>
    <row r="46" spans="1:33" x14ac:dyDescent="0.2">
      <c r="A46" s="1" t="s">
        <v>9</v>
      </c>
      <c r="B46" s="53">
        <f t="shared" ref="B46:S46" si="29">IFERROR(SUM(B12+C12+D12+E12),"NA")</f>
        <v>5875</v>
      </c>
      <c r="C46" s="53">
        <f t="shared" si="29"/>
        <v>5652</v>
      </c>
      <c r="D46" s="53">
        <f t="shared" si="29"/>
        <v>5603</v>
      </c>
      <c r="E46" s="53">
        <f t="shared" si="29"/>
        <v>5494</v>
      </c>
      <c r="F46" s="53">
        <f t="shared" si="29"/>
        <v>5606</v>
      </c>
      <c r="G46" s="53">
        <f t="shared" si="29"/>
        <v>5597</v>
      </c>
      <c r="H46" s="53">
        <f t="shared" si="29"/>
        <v>5461</v>
      </c>
      <c r="I46" s="53">
        <f t="shared" si="29"/>
        <v>5513</v>
      </c>
      <c r="J46" s="53">
        <f t="shared" si="29"/>
        <v>5571</v>
      </c>
      <c r="K46" s="53">
        <f t="shared" si="29"/>
        <v>5688</v>
      </c>
      <c r="L46" s="53">
        <f t="shared" si="29"/>
        <v>5707</v>
      </c>
      <c r="M46" s="53">
        <f t="shared" si="29"/>
        <v>5752</v>
      </c>
      <c r="N46" s="53">
        <f t="shared" si="29"/>
        <v>5832</v>
      </c>
      <c r="O46" s="53">
        <f t="shared" si="29"/>
        <v>5878</v>
      </c>
      <c r="P46" s="53">
        <f t="shared" si="29"/>
        <v>6187</v>
      </c>
      <c r="Q46" s="53">
        <f t="shared" si="29"/>
        <v>6269</v>
      </c>
      <c r="R46" s="53">
        <f t="shared" si="29"/>
        <v>6330</v>
      </c>
      <c r="S46" s="53">
        <f t="shared" si="29"/>
        <v>6356</v>
      </c>
    </row>
    <row r="47" spans="1:33" x14ac:dyDescent="0.2">
      <c r="A47" s="1" t="s">
        <v>8</v>
      </c>
      <c r="B47" s="11">
        <f t="shared" ref="B47:C47" si="30">+B27</f>
        <v>2067</v>
      </c>
      <c r="C47" s="11">
        <f t="shared" si="30"/>
        <v>1925</v>
      </c>
      <c r="D47" s="11">
        <f t="shared" ref="D47:E47" si="31">+D27</f>
        <v>1979</v>
      </c>
      <c r="E47" s="11">
        <f t="shared" si="31"/>
        <v>1930</v>
      </c>
      <c r="F47" s="11">
        <f t="shared" ref="F47:G47" si="32">+F27</f>
        <v>2042</v>
      </c>
      <c r="G47" s="11">
        <f t="shared" si="32"/>
        <v>2075</v>
      </c>
      <c r="H47" s="11">
        <f t="shared" ref="H47:I47" si="33">+H27</f>
        <v>1990</v>
      </c>
      <c r="I47" s="11">
        <f t="shared" si="33"/>
        <v>1970</v>
      </c>
      <c r="J47" s="11">
        <f t="shared" ref="J47:K47" si="34">+J27</f>
        <v>1920</v>
      </c>
      <c r="K47" s="11">
        <f t="shared" si="34"/>
        <v>1902</v>
      </c>
      <c r="L47" s="11">
        <f t="shared" ref="L47:S47" si="35">+L27</f>
        <v>1917</v>
      </c>
      <c r="M47" s="11">
        <f t="shared" si="35"/>
        <v>1934</v>
      </c>
      <c r="N47" s="11">
        <f t="shared" si="35"/>
        <v>1990</v>
      </c>
      <c r="O47" s="11">
        <f t="shared" si="35"/>
        <v>2013</v>
      </c>
      <c r="P47" s="11">
        <f t="shared" si="35"/>
        <v>2036</v>
      </c>
      <c r="Q47" s="11">
        <f t="shared" si="35"/>
        <v>2019</v>
      </c>
      <c r="R47" s="11">
        <f t="shared" si="35"/>
        <v>1958</v>
      </c>
      <c r="S47" s="11">
        <f t="shared" si="35"/>
        <v>1929</v>
      </c>
    </row>
    <row r="48" spans="1:33" x14ac:dyDescent="0.2">
      <c r="A48" s="1" t="s">
        <v>7</v>
      </c>
      <c r="B48" s="53">
        <f t="shared" ref="B48:S48" si="36">IFERROR(+SUM(B37+C37+D37+E37),"NA")</f>
        <v>1221</v>
      </c>
      <c r="C48" s="53">
        <f t="shared" si="36"/>
        <v>1145</v>
      </c>
      <c r="D48" s="53">
        <f t="shared" si="36"/>
        <v>1099</v>
      </c>
      <c r="E48" s="53">
        <f t="shared" si="36"/>
        <v>1029</v>
      </c>
      <c r="F48" s="53">
        <f t="shared" si="36"/>
        <v>1066</v>
      </c>
      <c r="G48" s="53">
        <f t="shared" si="36"/>
        <v>1119</v>
      </c>
      <c r="H48" s="53">
        <f t="shared" si="36"/>
        <v>1067</v>
      </c>
      <c r="I48" s="53">
        <f t="shared" si="36"/>
        <v>1031</v>
      </c>
      <c r="J48" s="53">
        <f t="shared" si="36"/>
        <v>1051</v>
      </c>
      <c r="K48" s="53">
        <f t="shared" si="36"/>
        <v>942</v>
      </c>
      <c r="L48" s="53">
        <f t="shared" si="36"/>
        <v>871</v>
      </c>
      <c r="M48" s="53">
        <f t="shared" si="36"/>
        <v>719</v>
      </c>
      <c r="N48" s="53">
        <f t="shared" si="36"/>
        <v>647</v>
      </c>
      <c r="O48" s="53">
        <f t="shared" si="36"/>
        <v>712</v>
      </c>
      <c r="P48" s="53">
        <f t="shared" si="36"/>
        <v>667</v>
      </c>
      <c r="Q48" s="53">
        <f t="shared" si="36"/>
        <v>709</v>
      </c>
      <c r="R48" s="53">
        <f t="shared" si="36"/>
        <v>804</v>
      </c>
      <c r="S48" s="53">
        <f t="shared" si="36"/>
        <v>821</v>
      </c>
    </row>
    <row r="50" spans="1:22" s="10" customFormat="1" x14ac:dyDescent="0.2">
      <c r="A50" s="10" t="s">
        <v>6</v>
      </c>
      <c r="B50" s="57">
        <f t="shared" ref="B50:C50" si="37">IFERROR(+SUM(B39:B40)/B47,"NA")</f>
        <v>2.5113691340106437</v>
      </c>
      <c r="C50" s="57">
        <f t="shared" si="37"/>
        <v>2.7470129870129871</v>
      </c>
      <c r="D50" s="57">
        <f t="shared" ref="D50:E50" si="38">IFERROR(+SUM(D39:D40)/D47,"NA")</f>
        <v>2.6821627084386055</v>
      </c>
      <c r="E50" s="57">
        <f t="shared" si="38"/>
        <v>3.0595854922279795</v>
      </c>
      <c r="F50" s="57">
        <f t="shared" ref="F50:G50" si="39">IFERROR(+SUM(F39:F40)/F47,"NA")</f>
        <v>3.0876591576885408</v>
      </c>
      <c r="G50" s="57">
        <f t="shared" si="39"/>
        <v>2.5893975903614459</v>
      </c>
      <c r="H50" s="57">
        <f t="shared" ref="H50" si="40">IFERROR(+SUM(H39:H40)/H47,"NA")</f>
        <v>2.7055276381909548</v>
      </c>
      <c r="I50" s="57">
        <f t="shared" ref="I50:J50" si="41">IFERROR(+SUM(I39:I40)/I47,"NA")</f>
        <v>2.8218274111675128</v>
      </c>
      <c r="J50" s="57">
        <f t="shared" si="41"/>
        <v>2.8244791666666669</v>
      </c>
      <c r="K50" s="57">
        <f t="shared" ref="K50:L50" si="42">IFERROR(+SUM(K39:K40)/K47,"NA")</f>
        <v>2.861198738170347</v>
      </c>
      <c r="L50" s="57">
        <f t="shared" si="42"/>
        <v>2.8487219613980179</v>
      </c>
      <c r="M50" s="57">
        <f t="shared" ref="M50:S50" si="43">IFERROR(+SUM(M39:M40)/M47,"NA")</f>
        <v>2.5992761116856258</v>
      </c>
      <c r="N50" s="57">
        <f t="shared" si="43"/>
        <v>2.4341708542713567</v>
      </c>
      <c r="O50" s="57">
        <f t="shared" si="43"/>
        <v>2.4222553402881273</v>
      </c>
      <c r="P50" s="57">
        <f t="shared" si="43"/>
        <v>2.4120825147347742</v>
      </c>
      <c r="Q50" s="57">
        <f t="shared" si="43"/>
        <v>2.4244675581971271</v>
      </c>
      <c r="R50" s="57">
        <f t="shared" si="43"/>
        <v>2.5025536261491319</v>
      </c>
      <c r="S50" s="57">
        <f t="shared" si="43"/>
        <v>2.5422498703991705</v>
      </c>
    </row>
    <row r="51" spans="1:22" s="10" customFormat="1" x14ac:dyDescent="0.2">
      <c r="A51" s="10" t="s">
        <v>5</v>
      </c>
      <c r="B51" s="57">
        <f t="shared" ref="B51:C51" si="44">IFERROR(+B41/B47,"NA")</f>
        <v>5.184325108853411</v>
      </c>
      <c r="C51" s="57">
        <f t="shared" si="44"/>
        <v>5.6171428571428574</v>
      </c>
      <c r="D51" s="57">
        <f t="shared" ref="D51:E51" si="45">IFERROR(+D41/D47,"NA")</f>
        <v>5.6508337544214253</v>
      </c>
      <c r="E51" s="57">
        <f t="shared" si="45"/>
        <v>6.1036269430051817</v>
      </c>
      <c r="F51" s="57">
        <f t="shared" ref="F51:G51" si="46">IFERROR(+F41/F47,"NA")</f>
        <v>5.6709108716944172</v>
      </c>
      <c r="G51" s="57">
        <f t="shared" si="46"/>
        <v>5.1315662650602407</v>
      </c>
      <c r="H51" s="57">
        <f t="shared" ref="H51:I51" si="47">IFERROR(+H41/H47,"NA")</f>
        <v>5.3562814070351763</v>
      </c>
      <c r="I51" s="57">
        <f t="shared" si="47"/>
        <v>5.2203045685279186</v>
      </c>
      <c r="J51" s="57">
        <f t="shared" ref="J51:K51" si="48">IFERROR(+J41/J47,"NA")</f>
        <v>5.2854166666666664</v>
      </c>
      <c r="K51" s="57">
        <f t="shared" si="48"/>
        <v>5.3454258675078865</v>
      </c>
      <c r="L51" s="57">
        <f t="shared" ref="L51:S51" si="49">IFERROR(+L41/L47,"NA")</f>
        <v>5.3135106937923835</v>
      </c>
      <c r="M51" s="57">
        <f t="shared" si="49"/>
        <v>5.0423991726990689</v>
      </c>
      <c r="N51" s="57">
        <f t="shared" si="49"/>
        <v>4.8085427135678396</v>
      </c>
      <c r="O51" s="57">
        <f t="shared" si="49"/>
        <v>4.8703427719821164</v>
      </c>
      <c r="P51" s="57">
        <f t="shared" si="49"/>
        <v>4.8924361493123776</v>
      </c>
      <c r="Q51" s="57">
        <f t="shared" si="49"/>
        <v>4.9257057949479943</v>
      </c>
      <c r="R51" s="57">
        <f t="shared" si="49"/>
        <v>4.6986721144024512</v>
      </c>
      <c r="S51" s="57">
        <f t="shared" si="49"/>
        <v>4.771384136858476</v>
      </c>
    </row>
    <row r="52" spans="1:22" s="10" customFormat="1" x14ac:dyDescent="0.2">
      <c r="A52" s="10" t="s">
        <v>4</v>
      </c>
      <c r="B52" s="57">
        <f t="shared" ref="B52:C52" si="50">IFERROR(+(B41-B44)/B47,"NA")</f>
        <v>4.7963231736816638</v>
      </c>
      <c r="C52" s="57">
        <f t="shared" si="50"/>
        <v>5.2379220779220779</v>
      </c>
      <c r="D52" s="57">
        <f t="shared" ref="D52:E52" si="51">IFERROR(+(D41-D44)/D47,"NA")</f>
        <v>5.089944416371905</v>
      </c>
      <c r="E52" s="57">
        <f t="shared" si="51"/>
        <v>5.459585492227979</v>
      </c>
      <c r="F52" s="57">
        <f t="shared" ref="F52:G52" si="52">IFERROR(+(F41-F44)/F47,"NA")</f>
        <v>5.1057786483839376</v>
      </c>
      <c r="G52" s="57">
        <f t="shared" si="52"/>
        <v>4.84</v>
      </c>
      <c r="H52" s="57">
        <f t="shared" ref="H52:I52" si="53">IFERROR(+(H41-H44)/H47,"NA")</f>
        <v>5.0090452261306533</v>
      </c>
      <c r="I52" s="57">
        <f t="shared" si="53"/>
        <v>5.0923857868020308</v>
      </c>
      <c r="J52" s="57">
        <f t="shared" ref="J52:K52" si="54">IFERROR(+(J41-J44)/J47,"NA")</f>
        <v>5.140625</v>
      </c>
      <c r="K52" s="57">
        <f t="shared" si="54"/>
        <v>5.1919032597266037</v>
      </c>
      <c r="L52" s="57">
        <f t="shared" ref="L52:S52" si="55">IFERROR(+(L41-L44)/L47,"NA")</f>
        <v>5.0073030777256129</v>
      </c>
      <c r="M52" s="57">
        <f t="shared" si="55"/>
        <v>4.8805584281282313</v>
      </c>
      <c r="N52" s="57">
        <f t="shared" si="55"/>
        <v>4.3150753768844226</v>
      </c>
      <c r="O52" s="57">
        <f t="shared" si="55"/>
        <v>4.1142573273720817</v>
      </c>
      <c r="P52" s="57">
        <f t="shared" si="55"/>
        <v>4.4111001964636545</v>
      </c>
      <c r="Q52" s="57">
        <f t="shared" si="55"/>
        <v>4.4452699356116891</v>
      </c>
      <c r="R52" s="57">
        <f t="shared" si="55"/>
        <v>4.4305413687436159</v>
      </c>
      <c r="S52" s="57">
        <f t="shared" si="55"/>
        <v>4.3955417314670813</v>
      </c>
    </row>
    <row r="53" spans="1:22" s="6" customFormat="1" x14ac:dyDescent="0.2">
      <c r="A53" s="6" t="s">
        <v>3</v>
      </c>
      <c r="B53" s="52">
        <f t="shared" ref="B53:C53" si="56">IFERROR(+B48/B41,"NA")</f>
        <v>0.11394176931690929</v>
      </c>
      <c r="C53" s="52">
        <f t="shared" si="56"/>
        <v>0.10589105706094516</v>
      </c>
      <c r="D53" s="52">
        <f t="shared" ref="D53:E53" si="57">IFERROR(+D48/D41,"NA")</f>
        <v>9.8274166145041586E-2</v>
      </c>
      <c r="E53" s="52">
        <f t="shared" si="57"/>
        <v>8.7351443123938874E-2</v>
      </c>
      <c r="F53" s="52">
        <f t="shared" ref="F53:G53" si="58">IFERROR(+F48/F41,"NA")</f>
        <v>9.2055267702936094E-2</v>
      </c>
      <c r="G53" s="52">
        <f t="shared" si="58"/>
        <v>0.1050901577761082</v>
      </c>
      <c r="H53" s="52">
        <f t="shared" ref="H53:I53" si="59">IFERROR(+H48/H41,"NA")</f>
        <v>0.1001031991744066</v>
      </c>
      <c r="I53" s="52">
        <f t="shared" si="59"/>
        <v>0.10025281991443018</v>
      </c>
      <c r="J53" s="52">
        <f t="shared" ref="J53:K53" si="60">IFERROR(+J48/J41,"NA")</f>
        <v>0.1035672053606622</v>
      </c>
      <c r="K53" s="52">
        <f t="shared" si="60"/>
        <v>9.2652699911478315E-2</v>
      </c>
      <c r="L53" s="52">
        <f t="shared" ref="L53:S53" si="61">IFERROR(+L48/L41,"NA")</f>
        <v>8.5509522874533672E-2</v>
      </c>
      <c r="M53" s="52">
        <f t="shared" si="61"/>
        <v>7.37284659557014E-2</v>
      </c>
      <c r="N53" s="52">
        <f t="shared" si="61"/>
        <v>6.7614170759745004E-2</v>
      </c>
      <c r="O53" s="52">
        <f t="shared" si="61"/>
        <v>7.2623419012647905E-2</v>
      </c>
      <c r="P53" s="52">
        <f t="shared" si="61"/>
        <v>6.6961148479068366E-2</v>
      </c>
      <c r="Q53" s="52">
        <f t="shared" si="61"/>
        <v>7.129210658622423E-2</v>
      </c>
      <c r="R53" s="52">
        <f t="shared" si="61"/>
        <v>8.739130434782609E-2</v>
      </c>
      <c r="S53" s="52">
        <f t="shared" si="61"/>
        <v>8.9200347674923949E-2</v>
      </c>
    </row>
    <row r="54" spans="1:22" s="6" customFormat="1" x14ac:dyDescent="0.2">
      <c r="A54" s="8" t="s">
        <v>2</v>
      </c>
      <c r="B54" s="9"/>
      <c r="C54" s="9"/>
      <c r="D54" s="9"/>
      <c r="E54" s="9"/>
      <c r="F54" s="9"/>
      <c r="G54" s="9"/>
      <c r="H54" s="9"/>
      <c r="I54" s="9"/>
      <c r="J54" s="9"/>
      <c r="K54" s="9"/>
      <c r="L54" s="9"/>
      <c r="M54" s="9"/>
      <c r="N54" s="9"/>
      <c r="O54" s="9"/>
      <c r="P54" s="9"/>
      <c r="Q54" s="9"/>
      <c r="R54" s="9"/>
      <c r="S54" s="9"/>
      <c r="T54" s="8"/>
      <c r="U54" s="8"/>
      <c r="V54" s="8"/>
    </row>
    <row r="55" spans="1:22" s="6" customFormat="1" x14ac:dyDescent="0.2">
      <c r="A55" s="6" t="s">
        <v>1</v>
      </c>
      <c r="B55" s="7">
        <f t="shared" ref="B55:C55" si="62">IF(B42=0,IF(B54="","","*"&amp;TEXT(B54,"0.0x")),(B41+B42-B44)/B47)</f>
        <v>21.933926513415578</v>
      </c>
      <c r="C55" s="7">
        <f t="shared" si="62"/>
        <v>21.677835717735064</v>
      </c>
      <c r="D55" s="7">
        <f t="shared" ref="D55:E55" si="63">IF(D42=0,IF(D54="","","*"&amp;TEXT(D54,"0.0x")),(D41+D42-D44)/D47)</f>
        <v>19.562088199605864</v>
      </c>
      <c r="E55" s="7">
        <f t="shared" si="63"/>
        <v>20.268770372056998</v>
      </c>
      <c r="F55" s="7">
        <f t="shared" ref="F55:G55" si="64">IF(F42=0,IF(F54="","","*"&amp;TEXT(F54,"0.0x")),(F41+F42-F44)/F47)</f>
        <v>18.11656794732615</v>
      </c>
      <c r="G55" s="7">
        <f t="shared" si="64"/>
        <v>20.111625734689156</v>
      </c>
      <c r="H55" s="7">
        <f t="shared" ref="H55:I55" si="65">IF(H42=0,IF(H54="","","*"&amp;TEXT(H54,"0.0x")),(H41+H42-H44)/H47)</f>
        <v>20.040959201407038</v>
      </c>
      <c r="I55" s="7">
        <f t="shared" si="65"/>
        <v>23.154910881015226</v>
      </c>
      <c r="J55" s="7">
        <f t="shared" ref="J55:K55" si="66">IF(J42=0,IF(J54="","","*"&amp;TEXT(J54,"0.0x")),(J41+J42-J44)/J47)</f>
        <v>21.154916462406252</v>
      </c>
      <c r="K55" s="7">
        <f t="shared" si="66"/>
        <v>20.254850348317561</v>
      </c>
      <c r="L55" s="7">
        <f t="shared" ref="L55:S55" si="67">IF(L42=0,IF(L54="","","*"&amp;TEXT(L54,"0.0x")),(L41+L42-L44)/L47)</f>
        <v>19.736154359853938</v>
      </c>
      <c r="M55" s="7">
        <f t="shared" si="67"/>
        <v>18.887191096944157</v>
      </c>
      <c r="N55" s="7">
        <f t="shared" si="67"/>
        <v>17.916182101738695</v>
      </c>
      <c r="O55" s="7">
        <f t="shared" si="67"/>
        <v>17.152011922503725</v>
      </c>
      <c r="P55" s="7">
        <f t="shared" si="67"/>
        <v>16.576638034872296</v>
      </c>
      <c r="Q55" s="7">
        <f t="shared" si="67"/>
        <v>17.167151974244675</v>
      </c>
      <c r="R55" s="7">
        <f t="shared" si="67"/>
        <v>15.795162079928497</v>
      </c>
      <c r="S55" s="7">
        <f t="shared" si="67"/>
        <v>14.03132727337999</v>
      </c>
      <c r="T55" s="7" t="str">
        <f>IF(T42=0,IF(T54="","",CONCATENATE("* ",T54,"x")),(T41+T42-T44)/T47)</f>
        <v/>
      </c>
      <c r="U55" s="7" t="str">
        <f>IF(U42=0,IF(U54="","",CONCATENATE("* ",U54,"x")),(U41+U42-U44)/U47)</f>
        <v/>
      </c>
      <c r="V55" s="7" t="str">
        <f>IF(V42=0,IF(V54="","",CONCATENATE("* ",V54,"x")),(V41+V42-V44)/V47)</f>
        <v/>
      </c>
    </row>
    <row r="56" spans="1:22" x14ac:dyDescent="0.2">
      <c r="S56" s="3"/>
    </row>
    <row r="57" spans="1:22" ht="80.25" customHeight="1" x14ac:dyDescent="0.2">
      <c r="A57" s="5" t="s">
        <v>0</v>
      </c>
      <c r="B57" s="4" t="s">
        <v>236</v>
      </c>
      <c r="C57" s="4" t="s">
        <v>279</v>
      </c>
      <c r="D57" s="4" t="s">
        <v>236</v>
      </c>
      <c r="E57" s="4" t="s">
        <v>236</v>
      </c>
      <c r="F57" s="4" t="s">
        <v>236</v>
      </c>
      <c r="G57" s="4" t="s">
        <v>279</v>
      </c>
      <c r="H57" s="4" t="s">
        <v>236</v>
      </c>
      <c r="I57" s="4" t="s">
        <v>236</v>
      </c>
      <c r="J57" s="4" t="s">
        <v>236</v>
      </c>
      <c r="K57" s="4" t="s">
        <v>279</v>
      </c>
      <c r="L57" s="4"/>
      <c r="M57" s="4"/>
      <c r="N57" s="4"/>
      <c r="O57" s="4"/>
      <c r="P57" s="4"/>
      <c r="Q57" s="4"/>
      <c r="R57" s="4"/>
      <c r="S57" s="4"/>
      <c r="T57" s="4"/>
      <c r="U57" s="4"/>
      <c r="V57" s="4"/>
    </row>
    <row r="58" spans="1:22" x14ac:dyDescent="0.2">
      <c r="A58" s="2"/>
      <c r="B58" s="3"/>
      <c r="C58" s="3"/>
      <c r="D58" s="3"/>
      <c r="E58" s="3"/>
      <c r="F58" s="3"/>
      <c r="G58" s="3"/>
      <c r="H58" s="3"/>
      <c r="I58" s="3"/>
      <c r="J58" s="3"/>
      <c r="K58" s="3"/>
      <c r="L58" s="3"/>
      <c r="M58" s="3"/>
      <c r="N58" s="3"/>
      <c r="O58" s="3"/>
    </row>
    <row r="59" spans="1:22" x14ac:dyDescent="0.2">
      <c r="A59" s="2"/>
    </row>
  </sheetData>
  <pageMargins left="0.7" right="0.7" top="0.75" bottom="0.75" header="0.3" footer="0.3"/>
  <pageSetup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2:AC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1" width="10.7109375" style="1" customWidth="1"/>
    <col min="22" max="16384" width="9.140625" style="1"/>
  </cols>
  <sheetData>
    <row r="2" spans="1:29" x14ac:dyDescent="0.2">
      <c r="A2" s="34" t="s">
        <v>45</v>
      </c>
      <c r="B2" s="1" t="s">
        <v>223</v>
      </c>
    </row>
    <row r="3" spans="1:29" s="35" customFormat="1" x14ac:dyDescent="0.2">
      <c r="A3" s="36" t="s">
        <v>43</v>
      </c>
      <c r="B3" s="35" t="s">
        <v>226</v>
      </c>
    </row>
    <row r="4" spans="1:29" x14ac:dyDescent="0.2">
      <c r="A4" s="34" t="s">
        <v>41</v>
      </c>
      <c r="B4" s="1" t="s">
        <v>40</v>
      </c>
    </row>
    <row r="5" spans="1:29" x14ac:dyDescent="0.2">
      <c r="A5" s="34" t="s">
        <v>39</v>
      </c>
    </row>
    <row r="6" spans="1:29" x14ac:dyDescent="0.2">
      <c r="A6" s="34" t="s">
        <v>38</v>
      </c>
    </row>
    <row r="7" spans="1:29" x14ac:dyDescent="0.2">
      <c r="A7" s="34" t="s">
        <v>37</v>
      </c>
      <c r="B7" s="1" t="s">
        <v>378</v>
      </c>
    </row>
    <row r="8" spans="1:29" x14ac:dyDescent="0.2">
      <c r="A8" s="34" t="s">
        <v>281</v>
      </c>
      <c r="B8" s="1" t="s">
        <v>291</v>
      </c>
    </row>
    <row r="9" spans="1:29" x14ac:dyDescent="0.2">
      <c r="A9" s="22"/>
    </row>
    <row r="10" spans="1:29"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f>EOMONTH(N10,-3)</f>
        <v>43190</v>
      </c>
      <c r="P10" s="33">
        <f t="shared" ref="P10:U10" si="0">EOMONTH(O10,-3)</f>
        <v>43100</v>
      </c>
      <c r="Q10" s="33">
        <f t="shared" si="0"/>
        <v>43008</v>
      </c>
      <c r="R10" s="33">
        <f t="shared" si="0"/>
        <v>42916</v>
      </c>
      <c r="S10" s="33">
        <f t="shared" si="0"/>
        <v>42825</v>
      </c>
      <c r="T10" s="33">
        <f t="shared" si="0"/>
        <v>42735</v>
      </c>
      <c r="U10" s="33">
        <f t="shared" si="0"/>
        <v>42643</v>
      </c>
    </row>
    <row r="12" spans="1:29" x14ac:dyDescent="0.2">
      <c r="A12" s="15" t="s">
        <v>35</v>
      </c>
      <c r="B12" s="19">
        <v>65.599999999999994</v>
      </c>
      <c r="C12" s="19">
        <v>59.2</v>
      </c>
      <c r="D12" s="19">
        <v>56.79999999999999</v>
      </c>
      <c r="E12" s="19">
        <v>55.199999999999996</v>
      </c>
      <c r="F12" s="19">
        <v>45.7</v>
      </c>
      <c r="G12" s="19">
        <v>54.3</v>
      </c>
      <c r="H12" s="19">
        <f>213.1-I12-J12-K12</f>
        <v>54.8</v>
      </c>
      <c r="I12" s="19">
        <v>54.6</v>
      </c>
      <c r="J12" s="19">
        <v>52.8</v>
      </c>
      <c r="K12" s="19">
        <v>50.900000000000006</v>
      </c>
      <c r="L12" s="19">
        <f>196.1-M12-N12-O12</f>
        <v>49.967728020000024</v>
      </c>
      <c r="M12" s="19">
        <v>49.8</v>
      </c>
      <c r="N12" s="19">
        <v>49.17793283000001</v>
      </c>
      <c r="O12" s="19">
        <v>47.154339149999984</v>
      </c>
      <c r="P12" s="19">
        <v>46.77396562999995</v>
      </c>
      <c r="Q12" s="19">
        <v>47.304022349999983</v>
      </c>
      <c r="R12" s="19">
        <v>45.368382530000019</v>
      </c>
      <c r="S12" s="19">
        <v>42.702257620000012</v>
      </c>
      <c r="T12" s="19"/>
      <c r="U12" s="19"/>
    </row>
    <row r="13" spans="1:29" s="28" customFormat="1" x14ac:dyDescent="0.2">
      <c r="A13" s="28" t="s">
        <v>34</v>
      </c>
      <c r="B13" s="28">
        <f t="shared" ref="B13:N13" si="1">+B12/F12-1</f>
        <v>0.43544857768052503</v>
      </c>
      <c r="C13" s="28">
        <f t="shared" si="1"/>
        <v>9.0239410681399734E-2</v>
      </c>
      <c r="D13" s="28">
        <f t="shared" si="1"/>
        <v>3.6496350364963348E-2</v>
      </c>
      <c r="E13" s="28">
        <f t="shared" si="1"/>
        <v>1.098901098901095E-2</v>
      </c>
      <c r="F13" s="28">
        <f t="shared" si="1"/>
        <v>-0.13446969696969691</v>
      </c>
      <c r="G13" s="28">
        <f t="shared" si="1"/>
        <v>6.6797642436149163E-2</v>
      </c>
      <c r="H13" s="28">
        <f t="shared" si="1"/>
        <v>9.6707858681623682E-2</v>
      </c>
      <c r="I13" s="28">
        <f t="shared" si="1"/>
        <v>9.6385542168674787E-2</v>
      </c>
      <c r="J13" s="28">
        <f t="shared" si="1"/>
        <v>7.3652285925088989E-2</v>
      </c>
      <c r="K13" s="28">
        <f t="shared" si="1"/>
        <v>7.9434065189311953E-2</v>
      </c>
      <c r="L13" s="28">
        <f t="shared" si="1"/>
        <v>6.8280770017747905E-2</v>
      </c>
      <c r="M13" s="28">
        <f t="shared" si="1"/>
        <v>5.2764596455083801E-2</v>
      </c>
      <c r="N13" s="28">
        <f t="shared" si="1"/>
        <v>8.396927744737015E-2</v>
      </c>
      <c r="O13" s="28">
        <f t="shared" ref="O13" si="2">+O12/S12-1</f>
        <v>0.10425869211923811</v>
      </c>
    </row>
    <row r="14" spans="1:29"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c r="Q14" s="32"/>
      <c r="R14" s="31"/>
      <c r="S14" s="31"/>
      <c r="T14" s="31"/>
      <c r="U14" s="31"/>
    </row>
    <row r="16" spans="1:29" s="22" customFormat="1" x14ac:dyDescent="0.2">
      <c r="A16" s="30" t="s">
        <v>31</v>
      </c>
      <c r="B16" s="29">
        <v>26.895999999999994</v>
      </c>
      <c r="C16" s="29">
        <v>22.081000000000003</v>
      </c>
      <c r="D16" s="29">
        <v>24.83</v>
      </c>
      <c r="E16" s="29">
        <v>22.937999999999999</v>
      </c>
      <c r="F16" s="29">
        <v>12.7</v>
      </c>
      <c r="G16" s="29">
        <f t="shared" ref="G16:M16" si="3">G22-G21-G20-G19</f>
        <v>18.5</v>
      </c>
      <c r="H16" s="29">
        <f t="shared" si="3"/>
        <v>14.4</v>
      </c>
      <c r="I16" s="29">
        <f t="shared" si="3"/>
        <v>16.599999999999998</v>
      </c>
      <c r="J16" s="29">
        <v>15.5</v>
      </c>
      <c r="K16" s="29">
        <f t="shared" si="3"/>
        <v>13.8</v>
      </c>
      <c r="L16" s="29">
        <f t="shared" si="3"/>
        <v>-7.3000000000000007</v>
      </c>
      <c r="M16" s="29">
        <f t="shared" si="3"/>
        <v>17.2</v>
      </c>
      <c r="N16" s="29">
        <v>18.100445848300019</v>
      </c>
      <c r="O16" s="29">
        <v>10.077298549999981</v>
      </c>
      <c r="P16" s="29">
        <v>11.806034609999902</v>
      </c>
      <c r="Q16" s="29">
        <v>13.529210979999963</v>
      </c>
      <c r="R16" s="29">
        <v>10.311332310000042</v>
      </c>
      <c r="S16" s="29">
        <v>6.3328413000000259</v>
      </c>
      <c r="T16" s="29"/>
      <c r="U16" s="29"/>
      <c r="AA16" s="117"/>
      <c r="AB16" s="117"/>
      <c r="AC16" s="117"/>
    </row>
    <row r="17" spans="1:29" s="28" customFormat="1" x14ac:dyDescent="0.2">
      <c r="A17" s="28" t="s">
        <v>30</v>
      </c>
      <c r="B17" s="28">
        <f t="shared" ref="B17" si="4">+B16/B12</f>
        <v>0.40999999999999992</v>
      </c>
      <c r="C17" s="28">
        <f t="shared" ref="C17:F17" si="5">+C16/C12</f>
        <v>0.37298986486486491</v>
      </c>
      <c r="D17" s="28">
        <f t="shared" si="5"/>
        <v>0.43714788732394372</v>
      </c>
      <c r="E17" s="28">
        <f t="shared" si="5"/>
        <v>0.41554347826086957</v>
      </c>
      <c r="F17" s="28">
        <f t="shared" si="5"/>
        <v>0.27789934354485774</v>
      </c>
      <c r="G17" s="28">
        <f t="shared" ref="G17:N17" si="6">+G16/G12</f>
        <v>0.3406998158379374</v>
      </c>
      <c r="H17" s="28">
        <f t="shared" ref="H17:M17" si="7">+H16/H12</f>
        <v>0.26277372262773724</v>
      </c>
      <c r="I17" s="28">
        <f t="shared" si="7"/>
        <v>0.304029304029304</v>
      </c>
      <c r="J17" s="28">
        <f t="shared" si="7"/>
        <v>0.29356060606060608</v>
      </c>
      <c r="K17" s="28">
        <f t="shared" si="7"/>
        <v>0.27111984282907658</v>
      </c>
      <c r="L17" s="28">
        <f t="shared" si="7"/>
        <v>-0.146094295043355</v>
      </c>
      <c r="M17" s="28">
        <f t="shared" si="7"/>
        <v>0.34538152610441769</v>
      </c>
      <c r="N17" s="28">
        <f t="shared" si="6"/>
        <v>0.36806032313050391</v>
      </c>
      <c r="O17" s="28">
        <f t="shared" ref="O17:S17" si="8">+O16/O12</f>
        <v>0.21370882789691231</v>
      </c>
      <c r="P17" s="28">
        <f t="shared" si="8"/>
        <v>0.25240610777777905</v>
      </c>
      <c r="Q17" s="28">
        <f t="shared" si="8"/>
        <v>0.2860055087894649</v>
      </c>
      <c r="R17" s="28">
        <f t="shared" si="8"/>
        <v>0.22728013949321718</v>
      </c>
      <c r="S17" s="28">
        <f t="shared" si="8"/>
        <v>0.14830225971551395</v>
      </c>
      <c r="AA17" s="1"/>
      <c r="AC17" s="1"/>
    </row>
    <row r="18" spans="1:29" s="23" customFormat="1" x14ac:dyDescent="0.2">
      <c r="AC18" s="117"/>
    </row>
    <row r="19" spans="1:29"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c r="U19" s="19"/>
    </row>
    <row r="20" spans="1:29"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c r="U20" s="19"/>
    </row>
    <row r="21" spans="1:29" s="23" customFormat="1" x14ac:dyDescent="0.2">
      <c r="A21" s="15" t="s">
        <v>18</v>
      </c>
      <c r="B21" s="19">
        <f>B22-B16-B19-B20</f>
        <v>-0.6959999999999944</v>
      </c>
      <c r="C21" s="19">
        <f>C22-C16-C19-C20</f>
        <v>-0.18100000000000449</v>
      </c>
      <c r="D21" s="19">
        <f>D22-D16-D19-D20</f>
        <v>-2.9299999999999997</v>
      </c>
      <c r="E21" s="19">
        <f>E22-E16-E19-E20</f>
        <v>0.56200000000000117</v>
      </c>
      <c r="F21" s="19">
        <f>F22-F16-F19-F20</f>
        <v>2.3000000000000007</v>
      </c>
      <c r="G21" s="19">
        <v>-1.9</v>
      </c>
      <c r="H21" s="19">
        <v>2.1</v>
      </c>
      <c r="I21" s="19">
        <v>0.6</v>
      </c>
      <c r="J21" s="19">
        <f>J22-J16-J19-J20</f>
        <v>3.3000000000000007</v>
      </c>
      <c r="K21" s="19">
        <v>2.1</v>
      </c>
      <c r="L21" s="19">
        <v>23.5</v>
      </c>
      <c r="M21" s="19">
        <v>0.3</v>
      </c>
      <c r="N21" s="19">
        <f t="shared" ref="N21:S21" si="9">N22-N16-N19-N20</f>
        <v>-0.35311727830001871</v>
      </c>
      <c r="O21" s="19">
        <f t="shared" si="9"/>
        <v>4.694843440000021</v>
      </c>
      <c r="P21" s="19">
        <f t="shared" si="9"/>
        <v>3.9676968900000986</v>
      </c>
      <c r="Q21" s="19">
        <f t="shared" si="9"/>
        <v>2.3380112400000375</v>
      </c>
      <c r="R21" s="19">
        <f t="shared" si="9"/>
        <v>4.03969910999996</v>
      </c>
      <c r="S21" s="19">
        <f t="shared" si="9"/>
        <v>5.6558351799999746</v>
      </c>
      <c r="T21" s="19"/>
      <c r="U21" s="19"/>
    </row>
    <row r="22" spans="1:29" s="22" customFormat="1" x14ac:dyDescent="0.2">
      <c r="A22" s="22" t="s">
        <v>23</v>
      </c>
      <c r="B22" s="20">
        <v>26.2</v>
      </c>
      <c r="C22" s="20">
        <v>21.9</v>
      </c>
      <c r="D22" s="20">
        <v>21.9</v>
      </c>
      <c r="E22" s="20">
        <v>23.5</v>
      </c>
      <c r="F22" s="20">
        <v>15</v>
      </c>
      <c r="G22" s="20">
        <v>16.600000000000001</v>
      </c>
      <c r="H22" s="20">
        <v>16.5</v>
      </c>
      <c r="I22" s="20">
        <v>17.2</v>
      </c>
      <c r="J22" s="20">
        <v>18.8</v>
      </c>
      <c r="K22" s="20">
        <v>15.9</v>
      </c>
      <c r="L22" s="20">
        <v>16.2</v>
      </c>
      <c r="M22" s="20">
        <v>17.5</v>
      </c>
      <c r="N22" s="20">
        <v>17.747328570000001</v>
      </c>
      <c r="O22" s="20">
        <v>14.772141990000001</v>
      </c>
      <c r="P22" s="20">
        <v>15.7737315</v>
      </c>
      <c r="Q22" s="20">
        <v>15.86722222</v>
      </c>
      <c r="R22" s="20">
        <v>14.351031420000002</v>
      </c>
      <c r="S22" s="20">
        <v>11.988676480000001</v>
      </c>
      <c r="T22" s="20"/>
      <c r="U22" s="20"/>
    </row>
    <row r="23" spans="1:29" s="22" customFormat="1" x14ac:dyDescent="0.2">
      <c r="B23" s="20"/>
      <c r="C23" s="20"/>
      <c r="D23" s="20"/>
      <c r="E23" s="20"/>
      <c r="F23" s="20"/>
      <c r="G23" s="20"/>
      <c r="H23" s="20"/>
      <c r="I23" s="20"/>
      <c r="J23" s="20"/>
      <c r="K23" s="20"/>
      <c r="L23" s="20"/>
      <c r="M23" s="20"/>
      <c r="N23" s="20"/>
      <c r="O23" s="20"/>
      <c r="P23" s="20"/>
      <c r="Q23" s="20"/>
      <c r="R23" s="20"/>
      <c r="S23" s="20"/>
      <c r="T23" s="20"/>
      <c r="U23" s="20"/>
    </row>
    <row r="24" spans="1:29" s="22" customFormat="1" x14ac:dyDescent="0.2">
      <c r="A24" s="22" t="s">
        <v>27</v>
      </c>
      <c r="B24" s="20">
        <f t="shared" ref="B24:P24" si="10">SUM(B22:E22)</f>
        <v>93.5</v>
      </c>
      <c r="C24" s="20">
        <f t="shared" si="10"/>
        <v>82.3</v>
      </c>
      <c r="D24" s="20">
        <f t="shared" si="10"/>
        <v>77</v>
      </c>
      <c r="E24" s="20">
        <f t="shared" si="10"/>
        <v>71.599999999999994</v>
      </c>
      <c r="F24" s="20">
        <f t="shared" si="10"/>
        <v>65.3</v>
      </c>
      <c r="G24" s="20">
        <f t="shared" si="10"/>
        <v>69.099999999999994</v>
      </c>
      <c r="H24" s="20">
        <f t="shared" si="10"/>
        <v>68.400000000000006</v>
      </c>
      <c r="I24" s="20">
        <f t="shared" si="10"/>
        <v>68.099999999999994</v>
      </c>
      <c r="J24" s="20">
        <f t="shared" si="10"/>
        <v>68.400000000000006</v>
      </c>
      <c r="K24" s="20">
        <f t="shared" si="10"/>
        <v>67.347328570000002</v>
      </c>
      <c r="L24" s="20">
        <f t="shared" si="10"/>
        <v>66.219470560000005</v>
      </c>
      <c r="M24" s="20">
        <f t="shared" si="10"/>
        <v>65.793202059999999</v>
      </c>
      <c r="N24" s="20">
        <f t="shared" si="10"/>
        <v>64.160424280000001</v>
      </c>
      <c r="O24" s="20">
        <f t="shared" si="10"/>
        <v>60.764127130000006</v>
      </c>
      <c r="P24" s="20">
        <f t="shared" si="10"/>
        <v>57.980661619999999</v>
      </c>
      <c r="Q24" s="20"/>
      <c r="R24" s="20"/>
      <c r="S24" s="20"/>
      <c r="T24" s="20"/>
      <c r="U24" s="20"/>
    </row>
    <row r="25" spans="1:29" s="23" customFormat="1" x14ac:dyDescent="0.2">
      <c r="A25" s="15" t="s">
        <v>26</v>
      </c>
      <c r="B25" s="27">
        <f>111.3-B24</f>
        <v>17.799999999999997</v>
      </c>
      <c r="C25" s="27">
        <f>97.5-C24</f>
        <v>15.200000000000003</v>
      </c>
      <c r="D25" s="27">
        <f>92.4-D24</f>
        <v>15.400000000000006</v>
      </c>
      <c r="E25" s="27">
        <f>86.1-E24</f>
        <v>14.5</v>
      </c>
      <c r="F25" s="27">
        <f>83.91931-F24</f>
        <v>18.619309999999999</v>
      </c>
      <c r="G25" s="27">
        <f>90.9-G24</f>
        <v>21.800000000000011</v>
      </c>
      <c r="H25" s="27">
        <f>88.9-H24</f>
        <v>20.5</v>
      </c>
      <c r="I25" s="27">
        <v>0</v>
      </c>
      <c r="J25" s="27">
        <v>0</v>
      </c>
      <c r="K25" s="27">
        <v>0</v>
      </c>
      <c r="L25" s="27">
        <v>0</v>
      </c>
      <c r="M25" s="27">
        <v>0</v>
      </c>
      <c r="N25" s="27">
        <v>0</v>
      </c>
      <c r="O25" s="27">
        <v>0</v>
      </c>
      <c r="P25" s="27">
        <v>0</v>
      </c>
      <c r="Q25" s="27"/>
      <c r="R25" s="27"/>
      <c r="S25" s="27"/>
      <c r="T25" s="27"/>
      <c r="U25" s="27"/>
    </row>
    <row r="26" spans="1:29" s="23" customFormat="1" x14ac:dyDescent="0.2">
      <c r="A26" s="15" t="s">
        <v>25</v>
      </c>
      <c r="B26" s="21">
        <v>0</v>
      </c>
      <c r="C26" s="21">
        <v>0</v>
      </c>
      <c r="D26" s="21">
        <v>0</v>
      </c>
      <c r="E26" s="21">
        <v>0</v>
      </c>
      <c r="F26" s="21">
        <v>0</v>
      </c>
      <c r="G26" s="21">
        <v>0</v>
      </c>
      <c r="H26" s="21">
        <v>0</v>
      </c>
      <c r="I26" s="21">
        <f>82.3-I25-I24</f>
        <v>14.200000000000003</v>
      </c>
      <c r="J26" s="21">
        <f>82.2-J25-J24</f>
        <v>13.799999999999997</v>
      </c>
      <c r="K26" s="21">
        <f>80.16847391-K25-K24</f>
        <v>12.821145340000001</v>
      </c>
      <c r="L26" s="21">
        <f>77.05277246-L25-L24</f>
        <v>10.833301899999995</v>
      </c>
      <c r="M26" s="21">
        <f>77.4-M25-M24</f>
        <v>11.606797940000007</v>
      </c>
      <c r="N26" s="21">
        <f>76.56042428-N25-N24</f>
        <v>12.400000000000006</v>
      </c>
      <c r="O26" s="21">
        <v>0</v>
      </c>
      <c r="P26" s="21">
        <v>0</v>
      </c>
      <c r="Q26" s="21"/>
      <c r="R26" s="21"/>
      <c r="S26" s="26"/>
      <c r="T26" s="26"/>
      <c r="U26" s="26"/>
    </row>
    <row r="27" spans="1:29" s="24" customFormat="1" x14ac:dyDescent="0.2">
      <c r="A27" s="22" t="s">
        <v>24</v>
      </c>
      <c r="B27" s="20">
        <f t="shared" ref="B27" si="11">SUM(B24:B26)</f>
        <v>111.3</v>
      </c>
      <c r="C27" s="20">
        <f t="shared" ref="C27:D27" si="12">SUM(C24:C26)</f>
        <v>97.5</v>
      </c>
      <c r="D27" s="20">
        <f t="shared" si="12"/>
        <v>92.4</v>
      </c>
      <c r="E27" s="20">
        <f t="shared" ref="E27:F27" si="13">SUM(E24:E26)</f>
        <v>86.1</v>
      </c>
      <c r="F27" s="20">
        <f t="shared" si="13"/>
        <v>83.919309999999996</v>
      </c>
      <c r="G27" s="20">
        <f t="shared" ref="G27:N27" si="14">SUM(G24:G26)</f>
        <v>90.9</v>
      </c>
      <c r="H27" s="20">
        <f t="shared" si="14"/>
        <v>88.9</v>
      </c>
      <c r="I27" s="20">
        <f t="shared" si="14"/>
        <v>82.3</v>
      </c>
      <c r="J27" s="20">
        <f t="shared" si="14"/>
        <v>82.2</v>
      </c>
      <c r="K27" s="20">
        <f t="shared" si="14"/>
        <v>80.168473910000003</v>
      </c>
      <c r="L27" s="20">
        <f t="shared" si="14"/>
        <v>77.05277246</v>
      </c>
      <c r="M27" s="20">
        <f t="shared" si="14"/>
        <v>77.400000000000006</v>
      </c>
      <c r="N27" s="20">
        <f t="shared" si="14"/>
        <v>76.560424280000007</v>
      </c>
      <c r="O27" s="20">
        <f t="shared" ref="O27:P27" si="15">SUM(O24:O26)</f>
        <v>60.764127130000006</v>
      </c>
      <c r="P27" s="20">
        <f t="shared" si="15"/>
        <v>57.980661619999999</v>
      </c>
      <c r="Q27" s="20"/>
      <c r="R27" s="20"/>
      <c r="S27" s="25"/>
      <c r="T27" s="25"/>
      <c r="U27" s="25"/>
    </row>
    <row r="28" spans="1:29" s="23" customFormat="1" x14ac:dyDescent="0.2"/>
    <row r="29" spans="1:29" s="22" customFormat="1" x14ac:dyDescent="0.2">
      <c r="A29" s="22" t="s">
        <v>23</v>
      </c>
      <c r="B29" s="20">
        <f t="shared" ref="B29:C29" si="16">B22</f>
        <v>26.2</v>
      </c>
      <c r="C29" s="20">
        <f t="shared" si="16"/>
        <v>21.9</v>
      </c>
      <c r="D29" s="20">
        <f t="shared" ref="D29:F29" si="17">D22</f>
        <v>21.9</v>
      </c>
      <c r="E29" s="20">
        <f t="shared" si="17"/>
        <v>23.5</v>
      </c>
      <c r="F29" s="20">
        <f t="shared" si="17"/>
        <v>15</v>
      </c>
      <c r="G29" s="20">
        <f t="shared" ref="G29:J29" si="18">G22</f>
        <v>16.600000000000001</v>
      </c>
      <c r="H29" s="20">
        <f t="shared" si="18"/>
        <v>16.5</v>
      </c>
      <c r="I29" s="20">
        <f t="shared" si="18"/>
        <v>17.2</v>
      </c>
      <c r="J29" s="20">
        <f t="shared" si="18"/>
        <v>18.8</v>
      </c>
      <c r="K29" s="20">
        <f t="shared" ref="K29:S29" si="19">K22</f>
        <v>15.9</v>
      </c>
      <c r="L29" s="20">
        <f t="shared" si="19"/>
        <v>16.2</v>
      </c>
      <c r="M29" s="20">
        <f t="shared" si="19"/>
        <v>17.5</v>
      </c>
      <c r="N29" s="20">
        <f t="shared" si="19"/>
        <v>17.747328570000001</v>
      </c>
      <c r="O29" s="20">
        <f t="shared" si="19"/>
        <v>14.772141990000001</v>
      </c>
      <c r="P29" s="20">
        <f t="shared" si="19"/>
        <v>15.7737315</v>
      </c>
      <c r="Q29" s="20">
        <f t="shared" si="19"/>
        <v>15.86722222</v>
      </c>
      <c r="R29" s="20">
        <f t="shared" si="19"/>
        <v>14.351031420000002</v>
      </c>
      <c r="S29" s="20">
        <f t="shared" si="19"/>
        <v>11.988676480000001</v>
      </c>
      <c r="T29" s="20"/>
      <c r="U29" s="20"/>
    </row>
    <row r="30" spans="1:29" s="11" customFormat="1" x14ac:dyDescent="0.2">
      <c r="A30" s="19" t="s">
        <v>22</v>
      </c>
      <c r="B30" s="19">
        <v>-6.96</v>
      </c>
      <c r="C30" s="19">
        <v>-4.8360000000000003</v>
      </c>
      <c r="D30" s="19">
        <f>-34.473-E30-F30-G30</f>
        <v>7.2700000000000014</v>
      </c>
      <c r="E30" s="19">
        <v>-7.7320000000000002</v>
      </c>
      <c r="F30" s="19">
        <v>-10.824</v>
      </c>
      <c r="G30" s="19">
        <v>-23.187000000000001</v>
      </c>
      <c r="H30" s="19">
        <f>-41.6-I30-J30-K30</f>
        <v>2.7449999999999974</v>
      </c>
      <c r="I30" s="19">
        <v>-11.766</v>
      </c>
      <c r="J30" s="19">
        <v>-16.687000000000001</v>
      </c>
      <c r="K30" s="19">
        <v>-15.891999999999999</v>
      </c>
      <c r="L30" s="19">
        <v>-1.1129801199999996</v>
      </c>
      <c r="M30" s="19">
        <v>-7.3860000000000001</v>
      </c>
      <c r="N30" s="19">
        <v>-7.3117700600000006</v>
      </c>
      <c r="O30" s="19">
        <v>-6.8082498199999986</v>
      </c>
      <c r="P30" s="19">
        <v>-6.7357929400000005</v>
      </c>
      <c r="Q30" s="19">
        <v>-6.6140311699999996</v>
      </c>
      <c r="R30" s="19">
        <v>-6.6814957300000009</v>
      </c>
      <c r="S30" s="19">
        <v>-6.3180477100000001</v>
      </c>
      <c r="T30" s="19"/>
      <c r="U30" s="19"/>
    </row>
    <row r="31" spans="1:29" s="11" customFormat="1" x14ac:dyDescent="0.2">
      <c r="A31" s="19" t="s">
        <v>21</v>
      </c>
      <c r="B31" s="19">
        <v>4.9000000000000002E-2</v>
      </c>
      <c r="C31" s="19">
        <v>-4.9000000000000002E-2</v>
      </c>
      <c r="D31" s="19">
        <f>0.372-E31-F31-G31</f>
        <v>0.20000000000000004</v>
      </c>
      <c r="E31" s="19">
        <v>4.1000000000000002E-2</v>
      </c>
      <c r="F31" s="19">
        <v>-2.5999999999999999E-2</v>
      </c>
      <c r="G31" s="19">
        <v>0.157</v>
      </c>
      <c r="H31" s="19">
        <f>4.038-I31-J31-K31</f>
        <v>2.0980000000000003</v>
      </c>
      <c r="I31" s="19">
        <v>1.738</v>
      </c>
      <c r="J31" s="19">
        <v>0.124</v>
      </c>
      <c r="K31" s="19">
        <v>7.8E-2</v>
      </c>
      <c r="L31" s="19">
        <v>2.6925719800000003</v>
      </c>
      <c r="M31" s="19">
        <v>7.9000000000000001E-2</v>
      </c>
      <c r="N31" s="19">
        <v>-7.879224E-2</v>
      </c>
      <c r="O31" s="19">
        <v>-6.2779740000000001E-2</v>
      </c>
      <c r="P31" s="19">
        <v>-6.2779740000000001E-2</v>
      </c>
      <c r="Q31" s="19">
        <v>-6.2779740000000001E-2</v>
      </c>
      <c r="R31" s="19">
        <v>-7.2779740000000009E-2</v>
      </c>
      <c r="S31" s="19">
        <v>-9.2779739999999999E-2</v>
      </c>
      <c r="T31" s="19"/>
      <c r="U31" s="19"/>
    </row>
    <row r="32" spans="1:29" s="11" customFormat="1" x14ac:dyDescent="0.2">
      <c r="A32" s="19" t="s">
        <v>20</v>
      </c>
      <c r="B32" s="19">
        <v>7.7809999999999997</v>
      </c>
      <c r="C32" s="19">
        <v>4.9290000000000003</v>
      </c>
      <c r="D32" s="19">
        <f>-3.016-0.809+0.716-0.081-1.906+4.71-E32-F32-G32</f>
        <v>-5.4399999999999995</v>
      </c>
      <c r="E32" s="19">
        <v>4.3840000000000003</v>
      </c>
      <c r="F32" s="19">
        <v>7.4969999999999999</v>
      </c>
      <c r="G32" s="19">
        <f>1.292-2.545-1.886-0.158+0.552-4.082</f>
        <v>-6.827</v>
      </c>
      <c r="H32" s="19">
        <f>-1.438+1.569-1-0.727+2.37-8.413-I32-J32-K32</f>
        <v>-0.94699999999999918</v>
      </c>
      <c r="I32" s="19">
        <v>4.3649999999999993</v>
      </c>
      <c r="J32" s="19">
        <v>-1.754</v>
      </c>
      <c r="K32" s="19">
        <f>-1.467+0.833-0.079-0.111-1.353-7.126</f>
        <v>-9.3030000000000008</v>
      </c>
      <c r="L32" s="19">
        <v>29.226542760000001</v>
      </c>
      <c r="M32" s="19">
        <v>1.145</v>
      </c>
      <c r="N32" s="19">
        <v>-3.9654768500000044</v>
      </c>
      <c r="O32" s="19">
        <v>2.3339340899999987</v>
      </c>
      <c r="P32" s="19">
        <v>0.78231914999999941</v>
      </c>
      <c r="Q32" s="19">
        <v>1.1568477399999997</v>
      </c>
      <c r="R32" s="19">
        <v>-0.14816400000000232</v>
      </c>
      <c r="S32" s="19">
        <v>0.81832453000000305</v>
      </c>
      <c r="T32" s="19"/>
      <c r="U32" s="19"/>
    </row>
    <row r="33" spans="1:21" s="11" customFormat="1" x14ac:dyDescent="0.2">
      <c r="A33" s="19" t="s">
        <v>19</v>
      </c>
      <c r="B33" s="19">
        <f t="shared" ref="B33:C33" si="20">-B19-B20-B21</f>
        <v>0.6959999999999944</v>
      </c>
      <c r="C33" s="19">
        <f t="shared" si="20"/>
        <v>0.18100000000000449</v>
      </c>
      <c r="D33" s="19">
        <f t="shared" ref="D33:F33" si="21">-D19-D20-D21</f>
        <v>2.9299999999999997</v>
      </c>
      <c r="E33" s="19">
        <f t="shared" si="21"/>
        <v>-0.56200000000000117</v>
      </c>
      <c r="F33" s="19">
        <f t="shared" si="21"/>
        <v>-2.3000000000000007</v>
      </c>
      <c r="G33" s="19">
        <f t="shared" ref="G33:M33" si="22">-G19-G20-G21</f>
        <v>1.9</v>
      </c>
      <c r="H33" s="19">
        <f t="shared" si="22"/>
        <v>-2.1</v>
      </c>
      <c r="I33" s="19">
        <f t="shared" si="22"/>
        <v>-0.6</v>
      </c>
      <c r="J33" s="19">
        <f t="shared" si="22"/>
        <v>-3.3000000000000007</v>
      </c>
      <c r="K33" s="19">
        <f t="shared" si="22"/>
        <v>-2.1</v>
      </c>
      <c r="L33" s="19">
        <f t="shared" si="22"/>
        <v>-23.5</v>
      </c>
      <c r="M33" s="19">
        <f t="shared" si="22"/>
        <v>-0.3</v>
      </c>
      <c r="N33" s="19">
        <f t="shared" ref="N33:S33" si="23">-N19-N20-N21</f>
        <v>0.35311727830001871</v>
      </c>
      <c r="O33" s="19">
        <f t="shared" si="23"/>
        <v>-4.694843440000021</v>
      </c>
      <c r="P33" s="19">
        <f t="shared" si="23"/>
        <v>-3.9676968900000986</v>
      </c>
      <c r="Q33" s="19">
        <f t="shared" si="23"/>
        <v>-2.3380112400000375</v>
      </c>
      <c r="R33" s="19">
        <f t="shared" si="23"/>
        <v>-4.03969910999996</v>
      </c>
      <c r="S33" s="19">
        <f t="shared" si="23"/>
        <v>-5.6558351799999746</v>
      </c>
      <c r="T33" s="19"/>
      <c r="U33" s="19"/>
    </row>
    <row r="34" spans="1:21" s="11" customFormat="1" x14ac:dyDescent="0.2">
      <c r="A34" s="19" t="s">
        <v>18</v>
      </c>
      <c r="B34" s="21">
        <f t="shared" ref="B34:C34" si="24">B35-B29-B30-B31-B32-B33</f>
        <v>-0.80799999999999539</v>
      </c>
      <c r="C34" s="21">
        <f t="shared" si="24"/>
        <v>-3.992000000000004</v>
      </c>
      <c r="D34" s="21">
        <f t="shared" ref="D34:F34" si="25">D35-D29-D30-D31-D32-D33</f>
        <v>-18.329999999999998</v>
      </c>
      <c r="E34" s="21">
        <f t="shared" si="25"/>
        <v>-1.6909999999999976</v>
      </c>
      <c r="F34" s="21">
        <f t="shared" si="25"/>
        <v>3.8190000000000008</v>
      </c>
      <c r="G34" s="21">
        <f t="shared" ref="G34:J34" si="26">G35-G29-G30-G31-G32-G33</f>
        <v>14.484999999999998</v>
      </c>
      <c r="H34" s="21">
        <f t="shared" si="26"/>
        <v>-12.072000000000001</v>
      </c>
      <c r="I34" s="21">
        <f t="shared" si="26"/>
        <v>1.268000000000002</v>
      </c>
      <c r="J34" s="21">
        <f t="shared" si="26"/>
        <v>9.9050000000000029</v>
      </c>
      <c r="K34" s="21">
        <f t="shared" ref="K34:S34" si="27">K35-K29-K30-K31-K32-K33</f>
        <v>7.4820000000000011</v>
      </c>
      <c r="L34" s="21">
        <f t="shared" si="27"/>
        <v>-11.428605838299973</v>
      </c>
      <c r="M34" s="21">
        <f t="shared" si="27"/>
        <v>-0.23300000000000015</v>
      </c>
      <c r="N34" s="21">
        <f t="shared" si="27"/>
        <v>-0.56258067000003376</v>
      </c>
      <c r="O34" s="21">
        <f t="shared" si="27"/>
        <v>4.2564421100000187</v>
      </c>
      <c r="P34" s="21">
        <f t="shared" si="27"/>
        <v>3.9782826000000986</v>
      </c>
      <c r="Q34" s="21">
        <f t="shared" si="27"/>
        <v>1.8688195400000409</v>
      </c>
      <c r="R34" s="21">
        <f t="shared" si="27"/>
        <v>3.7079965499999603</v>
      </c>
      <c r="S34" s="21">
        <f t="shared" si="27"/>
        <v>5.321737779999971</v>
      </c>
      <c r="T34" s="21"/>
      <c r="U34" s="21"/>
    </row>
    <row r="35" spans="1:21" s="20" customFormat="1" x14ac:dyDescent="0.2">
      <c r="A35" s="20" t="s">
        <v>17</v>
      </c>
      <c r="B35" s="20">
        <v>26.957999999999998</v>
      </c>
      <c r="C35" s="20">
        <v>18.132999999999999</v>
      </c>
      <c r="D35" s="20">
        <f>42.764-E35-F35-G35</f>
        <v>8.5300000000000011</v>
      </c>
      <c r="E35" s="20">
        <v>17.940000000000001</v>
      </c>
      <c r="F35" s="20">
        <v>13.166</v>
      </c>
      <c r="G35" s="20">
        <v>3.1280000000000001</v>
      </c>
      <c r="H35" s="20">
        <f>21.682-I35-J35-K35</f>
        <v>6.2239999999999984</v>
      </c>
      <c r="I35" s="20">
        <v>12.205</v>
      </c>
      <c r="J35" s="20">
        <v>7.0880000000000001</v>
      </c>
      <c r="K35" s="20">
        <v>-3.835</v>
      </c>
      <c r="L35" s="20">
        <v>12.077528781700025</v>
      </c>
      <c r="M35" s="20">
        <v>10.805</v>
      </c>
      <c r="N35" s="20">
        <v>6.1818260282999802</v>
      </c>
      <c r="O35" s="20">
        <v>9.7966451899999996</v>
      </c>
      <c r="P35" s="20">
        <v>9.7680636799999991</v>
      </c>
      <c r="Q35" s="20">
        <v>9.8780673500000038</v>
      </c>
      <c r="R35" s="20">
        <v>7.116889389999999</v>
      </c>
      <c r="S35" s="20">
        <v>6.0620761600000002</v>
      </c>
    </row>
    <row r="36" spans="1:21" s="11" customFormat="1" x14ac:dyDescent="0.2">
      <c r="A36" s="19" t="s">
        <v>16</v>
      </c>
      <c r="B36" s="21">
        <v>-16.652999999999999</v>
      </c>
      <c r="C36" s="21">
        <v>-11.135</v>
      </c>
      <c r="D36" s="21">
        <f>-40.845-E36-F36-G36</f>
        <v>-10.039999999999997</v>
      </c>
      <c r="E36" s="21">
        <v>-10.849</v>
      </c>
      <c r="F36" s="21">
        <v>-8.077</v>
      </c>
      <c r="G36" s="21">
        <v>-11.879</v>
      </c>
      <c r="H36" s="21">
        <f>-44.977-I36-J36-K36</f>
        <v>-12.352</v>
      </c>
      <c r="I36" s="21">
        <v>-13.055999999999999</v>
      </c>
      <c r="J36" s="21">
        <v>-10.734999999999999</v>
      </c>
      <c r="K36" s="21">
        <v>-8.8339999999999996</v>
      </c>
      <c r="L36" s="21">
        <v>-10.718459111700007</v>
      </c>
      <c r="M36" s="21">
        <v>-7.51</v>
      </c>
      <c r="N36" s="21">
        <v>-8.0200800782999995</v>
      </c>
      <c r="O36" s="21">
        <v>-10.06446081</v>
      </c>
      <c r="P36" s="21">
        <v>-8.320264759999997</v>
      </c>
      <c r="Q36" s="21">
        <v>-8.6798994500000006</v>
      </c>
      <c r="R36" s="21">
        <v>-8.7311029799999993</v>
      </c>
      <c r="S36" s="21">
        <v>-8.75581326</v>
      </c>
      <c r="T36" s="21"/>
      <c r="U36" s="21"/>
    </row>
    <row r="37" spans="1:21" s="20" customFormat="1" x14ac:dyDescent="0.2">
      <c r="A37" s="20" t="s">
        <v>15</v>
      </c>
      <c r="B37" s="20">
        <f t="shared" ref="B37:N37" si="28">+B35+B36</f>
        <v>10.305</v>
      </c>
      <c r="C37" s="20">
        <f t="shared" si="28"/>
        <v>6.9979999999999993</v>
      </c>
      <c r="D37" s="20">
        <f t="shared" si="28"/>
        <v>-1.5099999999999962</v>
      </c>
      <c r="E37" s="20">
        <f t="shared" si="28"/>
        <v>7.0910000000000011</v>
      </c>
      <c r="F37" s="20">
        <f t="shared" si="28"/>
        <v>5.0890000000000004</v>
      </c>
      <c r="G37" s="20">
        <f t="shared" si="28"/>
        <v>-8.7509999999999994</v>
      </c>
      <c r="H37" s="20">
        <f t="shared" si="28"/>
        <v>-6.1280000000000019</v>
      </c>
      <c r="I37" s="20">
        <f t="shared" si="28"/>
        <v>-0.85099999999999909</v>
      </c>
      <c r="J37" s="20">
        <f t="shared" si="28"/>
        <v>-3.6469999999999994</v>
      </c>
      <c r="K37" s="20">
        <f t="shared" si="28"/>
        <v>-12.669</v>
      </c>
      <c r="L37" s="20">
        <f t="shared" si="28"/>
        <v>1.359069670000018</v>
      </c>
      <c r="M37" s="20">
        <f t="shared" si="28"/>
        <v>3.2949999999999999</v>
      </c>
      <c r="N37" s="20">
        <f t="shared" si="28"/>
        <v>-1.8382540500000193</v>
      </c>
      <c r="O37" s="20">
        <f t="shared" ref="O37:S37" si="29">+O35+O36</f>
        <v>-0.26781562000000037</v>
      </c>
      <c r="P37" s="20">
        <f t="shared" si="29"/>
        <v>1.4477989200000021</v>
      </c>
      <c r="Q37" s="20">
        <f t="shared" si="29"/>
        <v>1.1981679000000032</v>
      </c>
      <c r="R37" s="20">
        <f t="shared" si="29"/>
        <v>-1.6142135900000003</v>
      </c>
      <c r="S37" s="20">
        <f t="shared" si="29"/>
        <v>-2.6937370999999999</v>
      </c>
    </row>
    <row r="39" spans="1:21" s="16" customFormat="1" x14ac:dyDescent="0.2">
      <c r="A39" s="18" t="s">
        <v>14</v>
      </c>
      <c r="B39" s="19">
        <v>0</v>
      </c>
      <c r="C39" s="19">
        <v>0</v>
      </c>
      <c r="D39" s="19">
        <v>0</v>
      </c>
      <c r="E39" s="19">
        <v>0</v>
      </c>
      <c r="F39" s="19">
        <v>0</v>
      </c>
      <c r="G39" s="19">
        <v>55.3</v>
      </c>
      <c r="H39" s="19">
        <v>18.5</v>
      </c>
      <c r="I39" s="19">
        <v>12.6</v>
      </c>
      <c r="J39" s="19">
        <v>10</v>
      </c>
      <c r="K39" s="19">
        <v>0</v>
      </c>
      <c r="L39" s="19">
        <v>0</v>
      </c>
      <c r="M39" s="19">
        <v>0</v>
      </c>
      <c r="N39" s="19">
        <v>0</v>
      </c>
      <c r="O39" s="19"/>
      <c r="P39" s="19"/>
      <c r="Q39" s="19"/>
      <c r="R39" s="19"/>
      <c r="S39" s="19"/>
      <c r="T39" s="19"/>
      <c r="U39" s="19"/>
    </row>
    <row r="40" spans="1:21" s="16" customFormat="1" x14ac:dyDescent="0.2">
      <c r="A40" s="18" t="s">
        <v>13</v>
      </c>
      <c r="B40" s="19">
        <v>433.2</v>
      </c>
      <c r="C40" s="19">
        <v>434</v>
      </c>
      <c r="D40" s="19">
        <f>526.825+7.287-D39-100</f>
        <v>434.11200000000008</v>
      </c>
      <c r="E40" s="19">
        <v>435.09999999999997</v>
      </c>
      <c r="F40" s="19">
        <f>394+35+6.4</f>
        <v>435.4</v>
      </c>
      <c r="G40" s="19">
        <f>395+6.8</f>
        <v>401.8</v>
      </c>
      <c r="H40" s="19">
        <f>496+6.314-100</f>
        <v>402.31400000000002</v>
      </c>
      <c r="I40" s="19">
        <f>397+5.9</f>
        <v>402.9</v>
      </c>
      <c r="J40" s="19">
        <f>398+5.2</f>
        <v>403.2</v>
      </c>
      <c r="K40" s="19">
        <f>399+3.9</f>
        <v>402.9</v>
      </c>
      <c r="L40" s="19">
        <f>400+3.851</f>
        <v>403.851</v>
      </c>
      <c r="M40" s="19">
        <f>400+3.851</f>
        <v>403.851</v>
      </c>
      <c r="N40" s="19">
        <f>400+3.851</f>
        <v>403.851</v>
      </c>
      <c r="O40" s="19"/>
      <c r="P40" s="19"/>
      <c r="Q40" s="19"/>
      <c r="R40" s="19"/>
      <c r="S40" s="19"/>
      <c r="T40" s="19"/>
      <c r="U40" s="19"/>
    </row>
    <row r="41" spans="1:21" s="16" customFormat="1" x14ac:dyDescent="0.2">
      <c r="A41" s="18" t="s">
        <v>12</v>
      </c>
      <c r="B41" s="19">
        <f t="shared" ref="B41:C41" si="30">B39+B40+100</f>
        <v>533.20000000000005</v>
      </c>
      <c r="C41" s="19">
        <f t="shared" si="30"/>
        <v>534</v>
      </c>
      <c r="D41" s="19">
        <f t="shared" ref="D41:N41" si="31">D39+D40+100</f>
        <v>534.11200000000008</v>
      </c>
      <c r="E41" s="19">
        <f t="shared" si="31"/>
        <v>535.09999999999991</v>
      </c>
      <c r="F41" s="19">
        <f t="shared" si="31"/>
        <v>535.4</v>
      </c>
      <c r="G41" s="19">
        <f t="shared" si="31"/>
        <v>557.1</v>
      </c>
      <c r="H41" s="19">
        <f t="shared" si="31"/>
        <v>520.81400000000008</v>
      </c>
      <c r="I41" s="19">
        <f t="shared" si="31"/>
        <v>515.5</v>
      </c>
      <c r="J41" s="19">
        <f t="shared" si="31"/>
        <v>513.20000000000005</v>
      </c>
      <c r="K41" s="19">
        <f t="shared" si="31"/>
        <v>502.9</v>
      </c>
      <c r="L41" s="19">
        <f t="shared" si="31"/>
        <v>503.851</v>
      </c>
      <c r="M41" s="19">
        <f t="shared" si="31"/>
        <v>503.851</v>
      </c>
      <c r="N41" s="19">
        <f t="shared" si="31"/>
        <v>503.851</v>
      </c>
      <c r="O41" s="19"/>
      <c r="P41" s="19"/>
      <c r="Q41" s="19"/>
      <c r="R41" s="19"/>
      <c r="S41" s="19"/>
      <c r="T41" s="19"/>
      <c r="U41" s="19"/>
    </row>
    <row r="42" spans="1:21" s="16" customFormat="1" x14ac:dyDescent="0.2">
      <c r="A42" s="18" t="s">
        <v>11</v>
      </c>
      <c r="B42" s="17">
        <v>241</v>
      </c>
      <c r="C42" s="17">
        <v>241</v>
      </c>
      <c r="D42" s="17">
        <v>241</v>
      </c>
      <c r="E42" s="17">
        <v>241</v>
      </c>
      <c r="F42" s="17">
        <v>241</v>
      </c>
      <c r="G42" s="17">
        <v>241</v>
      </c>
      <c r="H42" s="17">
        <v>241</v>
      </c>
      <c r="I42" s="17">
        <v>241</v>
      </c>
      <c r="J42" s="17">
        <v>241</v>
      </c>
      <c r="K42" s="17">
        <v>241</v>
      </c>
      <c r="L42" s="17">
        <v>241</v>
      </c>
      <c r="M42" s="17">
        <v>241</v>
      </c>
      <c r="N42" s="17">
        <v>241</v>
      </c>
      <c r="O42" s="17"/>
      <c r="P42" s="17"/>
      <c r="Q42" s="17"/>
      <c r="R42" s="17"/>
      <c r="S42" s="17"/>
      <c r="T42" s="17"/>
      <c r="U42" s="17"/>
    </row>
    <row r="43" spans="1:21" x14ac:dyDescent="0.2">
      <c r="B43" s="16"/>
      <c r="C43" s="16"/>
      <c r="D43" s="16"/>
      <c r="E43" s="16"/>
      <c r="F43" s="16"/>
      <c r="G43" s="16"/>
      <c r="H43" s="16"/>
      <c r="I43" s="16"/>
      <c r="J43" s="16"/>
      <c r="K43" s="16"/>
      <c r="L43" s="16"/>
      <c r="M43" s="16"/>
      <c r="N43" s="16"/>
      <c r="O43" s="16"/>
      <c r="P43" s="16"/>
    </row>
    <row r="44" spans="1:21" x14ac:dyDescent="0.2">
      <c r="A44" s="15" t="s">
        <v>10</v>
      </c>
      <c r="B44" s="27">
        <v>26</v>
      </c>
      <c r="C44" s="27">
        <v>17.05</v>
      </c>
      <c r="D44" s="27">
        <v>11.846</v>
      </c>
      <c r="E44" s="27">
        <v>14.7</v>
      </c>
      <c r="F44" s="27">
        <v>9.423</v>
      </c>
      <c r="G44" s="27">
        <v>27.545999999999999</v>
      </c>
      <c r="H44" s="27">
        <v>0.81399999999999995</v>
      </c>
      <c r="I44" s="27">
        <v>2</v>
      </c>
      <c r="J44" s="27">
        <v>1.4730000000000001</v>
      </c>
      <c r="K44" s="27">
        <v>6.359</v>
      </c>
      <c r="L44" s="27">
        <v>18.785</v>
      </c>
      <c r="M44" s="27">
        <v>2.496</v>
      </c>
      <c r="N44" s="27">
        <v>5</v>
      </c>
      <c r="O44" s="27"/>
      <c r="P44" s="27"/>
      <c r="Q44" s="27"/>
      <c r="R44" s="27"/>
      <c r="S44" s="27"/>
      <c r="T44" s="14"/>
      <c r="U44" s="14"/>
    </row>
    <row r="46" spans="1:21" x14ac:dyDescent="0.2">
      <c r="A46" s="1" t="s">
        <v>9</v>
      </c>
      <c r="B46" s="11">
        <f t="shared" ref="B46:M46" si="32">C46+B12-F12</f>
        <v>253.38974004000005</v>
      </c>
      <c r="C46" s="11">
        <f t="shared" si="32"/>
        <v>233.48974004000007</v>
      </c>
      <c r="D46" s="11">
        <f t="shared" si="32"/>
        <v>228.58974004000009</v>
      </c>
      <c r="E46" s="11">
        <f t="shared" si="32"/>
        <v>226.58974004000012</v>
      </c>
      <c r="F46" s="11">
        <f t="shared" si="32"/>
        <v>225.98974004000013</v>
      </c>
      <c r="G46" s="11">
        <f t="shared" si="32"/>
        <v>233.08974004000012</v>
      </c>
      <c r="H46" s="11">
        <f t="shared" si="32"/>
        <v>229.68974004000012</v>
      </c>
      <c r="I46" s="11">
        <f t="shared" si="32"/>
        <v>224.85746806000014</v>
      </c>
      <c r="J46" s="11">
        <f t="shared" si="32"/>
        <v>220.05746806000016</v>
      </c>
      <c r="K46" s="11">
        <f t="shared" si="32"/>
        <v>216.43540089000015</v>
      </c>
      <c r="L46" s="11">
        <f t="shared" si="32"/>
        <v>212.68974004000012</v>
      </c>
      <c r="M46" s="11">
        <f t="shared" si="32"/>
        <v>209.49597765000004</v>
      </c>
      <c r="N46" s="12">
        <v>207</v>
      </c>
      <c r="O46" s="11">
        <f t="shared" ref="O46:P46" si="33">SUM(O12:R12)</f>
        <v>186.60070965999995</v>
      </c>
      <c r="P46" s="11">
        <f t="shared" si="33"/>
        <v>182.14862812999996</v>
      </c>
      <c r="Q46" s="11"/>
      <c r="R46" s="11"/>
    </row>
    <row r="47" spans="1:21" x14ac:dyDescent="0.2">
      <c r="A47" s="1" t="s">
        <v>8</v>
      </c>
      <c r="B47" s="11">
        <f t="shared" ref="B47:C47" si="34">B27</f>
        <v>111.3</v>
      </c>
      <c r="C47" s="11">
        <f t="shared" si="34"/>
        <v>97.5</v>
      </c>
      <c r="D47" s="11">
        <f t="shared" ref="D47" si="35">D27</f>
        <v>92.4</v>
      </c>
      <c r="E47" s="11">
        <f t="shared" ref="E47:F47" si="36">E27</f>
        <v>86.1</v>
      </c>
      <c r="F47" s="11">
        <f t="shared" si="36"/>
        <v>83.919309999999996</v>
      </c>
      <c r="G47" s="11">
        <f t="shared" ref="G47:M47" si="37">G27</f>
        <v>90.9</v>
      </c>
      <c r="H47" s="11">
        <f t="shared" si="37"/>
        <v>88.9</v>
      </c>
      <c r="I47" s="11">
        <f t="shared" si="37"/>
        <v>82.3</v>
      </c>
      <c r="J47" s="11">
        <f t="shared" si="37"/>
        <v>82.2</v>
      </c>
      <c r="K47" s="11">
        <f t="shared" si="37"/>
        <v>80.168473910000003</v>
      </c>
      <c r="L47" s="11">
        <f t="shared" si="37"/>
        <v>77.05277246</v>
      </c>
      <c r="M47" s="11">
        <f t="shared" si="37"/>
        <v>77.400000000000006</v>
      </c>
      <c r="N47" s="12">
        <v>74.599999999999994</v>
      </c>
      <c r="O47" s="11">
        <f>+O27</f>
        <v>60.764127130000006</v>
      </c>
      <c r="P47" s="11">
        <f>+P27</f>
        <v>57.980661619999999</v>
      </c>
      <c r="Q47" s="11"/>
      <c r="R47" s="11"/>
    </row>
    <row r="48" spans="1:21" x14ac:dyDescent="0.2">
      <c r="A48" s="1" t="s">
        <v>7</v>
      </c>
      <c r="B48" s="11">
        <f t="shared" ref="B48:M48" si="38">C48+B37-F37</f>
        <v>27.11697139000001</v>
      </c>
      <c r="C48" s="11">
        <f t="shared" si="38"/>
        <v>21.900971390000009</v>
      </c>
      <c r="D48" s="11">
        <f t="shared" si="38"/>
        <v>6.1519713900000097</v>
      </c>
      <c r="E48" s="11">
        <f t="shared" si="38"/>
        <v>1.533971390000004</v>
      </c>
      <c r="F48" s="11">
        <f t="shared" si="38"/>
        <v>-6.4080286099999961</v>
      </c>
      <c r="G48" s="11">
        <f t="shared" si="38"/>
        <v>-15.144028609999996</v>
      </c>
      <c r="H48" s="11">
        <f t="shared" si="38"/>
        <v>-19.062028609999999</v>
      </c>
      <c r="I48" s="11">
        <f t="shared" si="38"/>
        <v>-11.574958939999977</v>
      </c>
      <c r="J48" s="11">
        <f t="shared" si="38"/>
        <v>-7.428958939999978</v>
      </c>
      <c r="K48" s="11">
        <f t="shared" si="38"/>
        <v>-5.6202129899999971</v>
      </c>
      <c r="L48" s="11">
        <f t="shared" si="38"/>
        <v>6.780971390000003</v>
      </c>
      <c r="M48" s="11">
        <f t="shared" si="38"/>
        <v>6.8697006399999871</v>
      </c>
      <c r="N48" s="12">
        <v>4.7728685399999904</v>
      </c>
      <c r="O48" s="11">
        <f>+SUM(O37:R37)</f>
        <v>0.7639376100000046</v>
      </c>
      <c r="P48" s="11">
        <f>+SUM(P37:S37)</f>
        <v>-1.6619838699999949</v>
      </c>
      <c r="Q48" s="11"/>
      <c r="R48" s="11"/>
    </row>
    <row r="50" spans="1:21" s="10" customFormat="1" x14ac:dyDescent="0.2">
      <c r="A50" s="10" t="s">
        <v>6</v>
      </c>
      <c r="B50" s="10">
        <f t="shared" ref="B50:C50" si="39">+SUM(B39:B40)/B47</f>
        <v>3.8921832884097034</v>
      </c>
      <c r="C50" s="10">
        <f t="shared" si="39"/>
        <v>4.4512820512820515</v>
      </c>
      <c r="D50" s="10">
        <f t="shared" ref="D50" si="40">+SUM(D39:D40)/D47</f>
        <v>4.6981818181818191</v>
      </c>
      <c r="E50" s="10">
        <f t="shared" ref="E50" si="41">+SUM(E39:E40)/E47</f>
        <v>5.0534262485481998</v>
      </c>
      <c r="F50" s="10">
        <f t="shared" ref="F50:G50" si="42">+SUM(F39:F40)/F47</f>
        <v>5.1883172061352747</v>
      </c>
      <c r="G50" s="10">
        <f t="shared" si="42"/>
        <v>5.0286028602860284</v>
      </c>
      <c r="H50" s="10">
        <f t="shared" ref="H50" si="43">+SUM(H39:H40)/H47</f>
        <v>4.7335658042744653</v>
      </c>
      <c r="I50" s="10">
        <f t="shared" ref="I50:N50" si="44">+SUM(I39:I40)/I47</f>
        <v>5.0486026731470233</v>
      </c>
      <c r="J50" s="10">
        <f t="shared" si="44"/>
        <v>5.0267639902676393</v>
      </c>
      <c r="K50" s="10">
        <f t="shared" si="44"/>
        <v>5.0256663292893657</v>
      </c>
      <c r="L50" s="10">
        <f t="shared" si="44"/>
        <v>5.2412260728145643</v>
      </c>
      <c r="M50" s="10">
        <f t="shared" si="44"/>
        <v>5.2177131782945736</v>
      </c>
      <c r="N50" s="10">
        <f t="shared" si="44"/>
        <v>5.4135522788203758</v>
      </c>
    </row>
    <row r="51" spans="1:21" s="10" customFormat="1" x14ac:dyDescent="0.2">
      <c r="A51" s="10" t="s">
        <v>5</v>
      </c>
      <c r="B51" s="10">
        <f t="shared" ref="B51:C51" si="45">+B41/B47</f>
        <v>4.7906558849955081</v>
      </c>
      <c r="C51" s="10">
        <f t="shared" si="45"/>
        <v>5.476923076923077</v>
      </c>
      <c r="D51" s="10">
        <f t="shared" ref="D51" si="46">+D41/D47</f>
        <v>5.7804329004329009</v>
      </c>
      <c r="E51" s="10">
        <f t="shared" ref="E51" si="47">+E41/E47</f>
        <v>6.2148664343786288</v>
      </c>
      <c r="F51" s="10">
        <f t="shared" ref="F51:G51" si="48">+F41/F47</f>
        <v>6.3799380619311572</v>
      </c>
      <c r="G51" s="10">
        <f t="shared" si="48"/>
        <v>6.1287128712871288</v>
      </c>
      <c r="H51" s="10">
        <f t="shared" ref="H51" si="49">+H41/H47</f>
        <v>5.8584251968503942</v>
      </c>
      <c r="I51" s="10">
        <f t="shared" ref="I51:N51" si="50">+I41/I47</f>
        <v>6.2636695018226005</v>
      </c>
      <c r="J51" s="10">
        <f t="shared" si="50"/>
        <v>6.2433090024330902</v>
      </c>
      <c r="K51" s="10">
        <f t="shared" si="50"/>
        <v>6.2730394564398662</v>
      </c>
      <c r="L51" s="10">
        <f t="shared" si="50"/>
        <v>6.5390379075790106</v>
      </c>
      <c r="M51" s="10">
        <f t="shared" si="50"/>
        <v>6.5097028423772603</v>
      </c>
      <c r="N51" s="10">
        <f t="shared" si="50"/>
        <v>6.7540348525469174</v>
      </c>
    </row>
    <row r="52" spans="1:21" s="10" customFormat="1" x14ac:dyDescent="0.2">
      <c r="A52" s="10" t="s">
        <v>4</v>
      </c>
      <c r="B52" s="10">
        <f t="shared" ref="B52:C52" si="51">+(B41-B44)/B47</f>
        <v>4.5570530098831989</v>
      </c>
      <c r="C52" s="10">
        <f t="shared" si="51"/>
        <v>5.3020512820512824</v>
      </c>
      <c r="D52" s="10">
        <f t="shared" ref="D52" si="52">+(D41-D44)/D47</f>
        <v>5.6522294372294377</v>
      </c>
      <c r="E52" s="10">
        <f t="shared" ref="E52" si="53">+(E41-E44)/E47</f>
        <v>6.0441347270615555</v>
      </c>
      <c r="F52" s="10">
        <f t="shared" ref="F52:G52" si="54">+(F41-F44)/F47</f>
        <v>6.267651628689511</v>
      </c>
      <c r="G52" s="10">
        <f t="shared" si="54"/>
        <v>5.8256765676567648</v>
      </c>
      <c r="H52" s="10">
        <f t="shared" ref="H52" si="55">+(H41-H44)/H47</f>
        <v>5.8492688413948262</v>
      </c>
      <c r="I52" s="10">
        <f t="shared" ref="I52:N52" si="56">+(I41-I44)/I47</f>
        <v>6.2393681652490889</v>
      </c>
      <c r="J52" s="10">
        <f t="shared" si="56"/>
        <v>6.2253892944038931</v>
      </c>
      <c r="K52" s="10">
        <f t="shared" si="56"/>
        <v>6.193718999284366</v>
      </c>
      <c r="L52" s="10">
        <f t="shared" si="56"/>
        <v>6.2952439544185088</v>
      </c>
      <c r="M52" s="10">
        <f t="shared" si="56"/>
        <v>6.4774547803617573</v>
      </c>
      <c r="N52" s="10">
        <f t="shared" si="56"/>
        <v>6.68701072386059</v>
      </c>
    </row>
    <row r="53" spans="1:21" s="6" customFormat="1" x14ac:dyDescent="0.2">
      <c r="A53" s="6" t="s">
        <v>3</v>
      </c>
      <c r="B53" s="6">
        <f t="shared" ref="B53:C53" si="57">+B48/B41</f>
        <v>5.0857035615153805E-2</v>
      </c>
      <c r="C53" s="6">
        <f t="shared" si="57"/>
        <v>4.10130550374532E-2</v>
      </c>
      <c r="D53" s="6">
        <f t="shared" ref="D53" si="58">+D48/D41</f>
        <v>1.1518129886615557E-2</v>
      </c>
      <c r="E53" s="6">
        <f t="shared" ref="E53" si="59">+E48/E41</f>
        <v>2.8667004111381129E-3</v>
      </c>
      <c r="F53" s="6">
        <f t="shared" ref="F53:G53" si="60">+F48/F41</f>
        <v>-1.1968675028016429E-2</v>
      </c>
      <c r="G53" s="6">
        <f t="shared" si="60"/>
        <v>-2.7183680865194751E-2</v>
      </c>
      <c r="H53" s="6">
        <f t="shared" ref="H53" si="61">+H48/H41</f>
        <v>-3.6600453540035396E-2</v>
      </c>
      <c r="I53" s="6">
        <f t="shared" ref="I53:N53" si="62">+I48/I41</f>
        <v>-2.2453848574199763E-2</v>
      </c>
      <c r="J53" s="6">
        <f t="shared" si="62"/>
        <v>-1.4475757872174547E-2</v>
      </c>
      <c r="K53" s="6">
        <f t="shared" si="62"/>
        <v>-1.1175607456750839E-2</v>
      </c>
      <c r="L53" s="6">
        <f t="shared" si="62"/>
        <v>1.3458287053116899E-2</v>
      </c>
      <c r="M53" s="6">
        <f t="shared" si="62"/>
        <v>1.3634389214271654E-2</v>
      </c>
      <c r="N53" s="6">
        <f t="shared" si="62"/>
        <v>9.4727777458018161E-3</v>
      </c>
    </row>
    <row r="54" spans="1:21" s="6" customFormat="1" x14ac:dyDescent="0.2">
      <c r="A54" s="8" t="s">
        <v>2</v>
      </c>
      <c r="B54" s="9"/>
      <c r="C54" s="9"/>
      <c r="D54" s="9"/>
      <c r="E54" s="9"/>
      <c r="F54" s="9"/>
      <c r="G54" s="9"/>
      <c r="H54" s="9"/>
      <c r="I54" s="9"/>
      <c r="J54" s="9"/>
      <c r="K54" s="9"/>
      <c r="L54" s="9"/>
      <c r="M54" s="9"/>
      <c r="N54" s="9"/>
      <c r="O54" s="9"/>
      <c r="P54" s="9"/>
      <c r="Q54" s="9"/>
      <c r="R54" s="9"/>
      <c r="S54" s="8"/>
      <c r="T54" s="8"/>
      <c r="U54" s="8"/>
    </row>
    <row r="55" spans="1:21" s="6" customFormat="1" x14ac:dyDescent="0.2">
      <c r="A55" s="6" t="s">
        <v>1</v>
      </c>
      <c r="B55" s="7">
        <f t="shared" ref="B55:C55" si="63">IF(B42=0,IF(B54="","","*"&amp;TEXT(B54,"0.0x")),(B41+B42-B44)/B47)</f>
        <v>6.7223719676549871</v>
      </c>
      <c r="C55" s="7">
        <f t="shared" si="63"/>
        <v>7.7738461538461543</v>
      </c>
      <c r="D55" s="7">
        <f t="shared" ref="D55" si="64">IF(D42=0,IF(D54="","","*"&amp;TEXT(D54,"0.0x")),(D41+D42-D44)/D47)</f>
        <v>8.2604545454545466</v>
      </c>
      <c r="E55" s="7">
        <f t="shared" ref="E55" si="65">IF(E42=0,IF(E54="","","*"&amp;TEXT(E54,"0.0x")),(E41+E42-E44)/E47)</f>
        <v>8.8432055749128917</v>
      </c>
      <c r="F55" s="7">
        <f t="shared" ref="F55:G55" si="66">IF(F42=0,IF(F54="","","*"&amp;TEXT(F54,"0.0x")),(F41+F42-F44)/F47)</f>
        <v>9.1394578911575888</v>
      </c>
      <c r="G55" s="7">
        <f t="shared" si="66"/>
        <v>8.4769416941694153</v>
      </c>
      <c r="H55" s="7">
        <f t="shared" ref="H55" si="67">IF(H42=0,IF(H54="","","*"&amp;TEXT(H54,"0.0x")),(H41+H42-H44)/H47)</f>
        <v>8.5601799775028127</v>
      </c>
      <c r="I55" s="7">
        <f t="shared" ref="I55:J55" si="68">IF(I42=0,IF(I54="","","*"&amp;TEXT(I54,"0.0x")),(I41+I42-I44)/I47)</f>
        <v>9.1676792223572292</v>
      </c>
      <c r="J55" s="7">
        <f t="shared" si="68"/>
        <v>9.1572627737226284</v>
      </c>
      <c r="K55" s="7">
        <f t="shared" ref="K55:P55" si="69">IF(K42=0,IF(K54="","","*"&amp;TEXT(K54,"0.0x")),(K41+K42-K44)/K47)</f>
        <v>9.1998882357170704</v>
      </c>
      <c r="L55" s="7">
        <f t="shared" si="69"/>
        <v>9.4229704762008257</v>
      </c>
      <c r="M55" s="7">
        <f t="shared" si="69"/>
        <v>9.5911498708010328</v>
      </c>
      <c r="N55" s="7">
        <f t="shared" si="69"/>
        <v>9.9175737265415549</v>
      </c>
      <c r="O55" s="7" t="str">
        <f t="shared" si="69"/>
        <v/>
      </c>
      <c r="P55" s="7" t="str">
        <f t="shared" si="69"/>
        <v/>
      </c>
      <c r="Q55" s="7"/>
      <c r="R55" s="7"/>
      <c r="S55" s="7" t="str">
        <f t="shared" ref="S55:U55" si="70">IF(S42=0,IF(S54="","",CONCATENATE("* ",S54,"x")),(S41+S42-S44)/S47)</f>
        <v/>
      </c>
      <c r="T55" s="7" t="str">
        <f t="shared" si="70"/>
        <v/>
      </c>
      <c r="U55" s="7" t="str">
        <f t="shared" si="70"/>
        <v/>
      </c>
    </row>
    <row r="56" spans="1:21" x14ac:dyDescent="0.2">
      <c r="R56" s="3"/>
    </row>
    <row r="57" spans="1:21" ht="80.25" customHeight="1" x14ac:dyDescent="0.2">
      <c r="A57" s="5" t="s">
        <v>0</v>
      </c>
      <c r="B57" s="4" t="s">
        <v>104</v>
      </c>
      <c r="C57" s="4" t="s">
        <v>104</v>
      </c>
      <c r="D57" s="4" t="s">
        <v>104</v>
      </c>
      <c r="E57" s="4" t="s">
        <v>104</v>
      </c>
      <c r="F57" s="4" t="s">
        <v>235</v>
      </c>
      <c r="G57" s="4" t="s">
        <v>235</v>
      </c>
      <c r="H57" s="4" t="s">
        <v>235</v>
      </c>
      <c r="I57" s="4" t="s">
        <v>104</v>
      </c>
      <c r="J57" s="4" t="s">
        <v>104</v>
      </c>
      <c r="K57" s="4" t="s">
        <v>104</v>
      </c>
      <c r="L57" s="4" t="s">
        <v>104</v>
      </c>
      <c r="M57" s="4" t="s">
        <v>104</v>
      </c>
      <c r="N57" s="4" t="s">
        <v>227</v>
      </c>
      <c r="O57" s="4"/>
      <c r="P57" s="4"/>
      <c r="Q57" s="4"/>
      <c r="R57" s="4"/>
      <c r="S57" s="4"/>
      <c r="T57" s="4"/>
      <c r="U57" s="4"/>
    </row>
    <row r="58" spans="1:21" x14ac:dyDescent="0.2">
      <c r="A58" s="2"/>
      <c r="B58" s="3"/>
      <c r="C58" s="3"/>
      <c r="D58" s="3"/>
      <c r="E58" s="3"/>
      <c r="F58" s="3"/>
      <c r="G58" s="3"/>
      <c r="H58" s="3"/>
      <c r="I58" s="3"/>
      <c r="J58" s="3"/>
      <c r="K58" s="3"/>
      <c r="L58" s="3"/>
      <c r="M58" s="3"/>
      <c r="N58" s="3"/>
    </row>
    <row r="59" spans="1:21" x14ac:dyDescent="0.2">
      <c r="A59" s="2"/>
    </row>
  </sheetData>
  <pageMargins left="0.7" right="0.7" top="0.75" bottom="0.75" header="0.3" footer="0.3"/>
  <pageSetup orientation="portrait" r:id="rId1"/>
  <ignoredErrors>
    <ignoredError sqref="P24:P25 P27:P32 P26 J24 O26 K26:L26 K27:O31 K24:O25 I26:J26 I25:J25 I33:O34 I27:J32 M26:N26 I24 L32:O32 G24:H25 E24:F25 C24:D25 B24" formulaRange="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53" sqref="B53"/>
    </sheetView>
  </sheetViews>
  <sheetFormatPr defaultRowHeight="12.75" x14ac:dyDescent="0.2"/>
  <cols>
    <col min="1" max="1" width="22.7109375" style="1" customWidth="1"/>
    <col min="2" max="14" width="10.7109375" style="1" customWidth="1"/>
    <col min="15" max="16384" width="9.140625" style="1"/>
  </cols>
  <sheetData>
    <row r="2" spans="1:14" x14ac:dyDescent="0.2">
      <c r="A2" s="34" t="s">
        <v>45</v>
      </c>
      <c r="B2" s="1" t="s">
        <v>228</v>
      </c>
    </row>
    <row r="3" spans="1:14" s="35" customFormat="1" x14ac:dyDescent="0.2">
      <c r="A3" s="36" t="s">
        <v>43</v>
      </c>
      <c r="B3" s="35" t="s">
        <v>229</v>
      </c>
    </row>
    <row r="4" spans="1:14" x14ac:dyDescent="0.2">
      <c r="A4" s="34" t="s">
        <v>41</v>
      </c>
      <c r="B4" s="1" t="s">
        <v>40</v>
      </c>
    </row>
    <row r="5" spans="1:14" x14ac:dyDescent="0.2">
      <c r="A5" s="34" t="s">
        <v>39</v>
      </c>
    </row>
    <row r="6" spans="1:14" x14ac:dyDescent="0.2">
      <c r="A6" s="34" t="s">
        <v>38</v>
      </c>
    </row>
    <row r="7" spans="1:14" x14ac:dyDescent="0.2">
      <c r="A7" s="34" t="s">
        <v>37</v>
      </c>
      <c r="B7" s="1" t="s">
        <v>377</v>
      </c>
    </row>
    <row r="8" spans="1:14" x14ac:dyDescent="0.2">
      <c r="A8" s="34" t="s">
        <v>281</v>
      </c>
      <c r="B8" s="1" t="s">
        <v>290</v>
      </c>
    </row>
    <row r="9" spans="1:14" x14ac:dyDescent="0.2">
      <c r="A9" s="22"/>
    </row>
    <row r="10" spans="1:14" x14ac:dyDescent="0.2">
      <c r="A10" s="22" t="s">
        <v>36</v>
      </c>
      <c r="B10" s="33">
        <v>43738</v>
      </c>
      <c r="C10" s="33">
        <v>43646</v>
      </c>
      <c r="D10" s="33">
        <v>43555</v>
      </c>
      <c r="E10" s="33">
        <v>43465</v>
      </c>
      <c r="F10" s="33">
        <v>43373</v>
      </c>
      <c r="G10" s="33">
        <v>43281</v>
      </c>
      <c r="H10" s="33">
        <f>EOMONTH(G10,-3)</f>
        <v>43190</v>
      </c>
      <c r="I10" s="33">
        <f t="shared" ref="I10:N10" si="0">EOMONTH(H10,-3)</f>
        <v>43100</v>
      </c>
      <c r="J10" s="33">
        <f t="shared" si="0"/>
        <v>43008</v>
      </c>
      <c r="K10" s="33">
        <f t="shared" si="0"/>
        <v>42916</v>
      </c>
      <c r="L10" s="33">
        <f t="shared" si="0"/>
        <v>42825</v>
      </c>
      <c r="M10" s="33">
        <f t="shared" si="0"/>
        <v>42735</v>
      </c>
      <c r="N10" s="33">
        <f t="shared" si="0"/>
        <v>42643</v>
      </c>
    </row>
    <row r="12" spans="1:14" x14ac:dyDescent="0.2">
      <c r="A12" s="15" t="s">
        <v>35</v>
      </c>
      <c r="B12" s="19">
        <v>338.40499999999997</v>
      </c>
      <c r="C12" s="19">
        <v>336.20499999999998</v>
      </c>
      <c r="D12" s="19">
        <v>343.16500000000002</v>
      </c>
      <c r="E12" s="19">
        <v>295.23899999999981</v>
      </c>
      <c r="F12" s="19">
        <v>321.98200000000003</v>
      </c>
      <c r="G12" s="19">
        <v>322.93200000000002</v>
      </c>
      <c r="H12" s="19">
        <v>349.65800000000002</v>
      </c>
      <c r="I12" s="19">
        <v>329.1</v>
      </c>
      <c r="J12" s="19">
        <v>363</v>
      </c>
      <c r="K12" s="19">
        <v>349.84500000000003</v>
      </c>
      <c r="L12" s="19">
        <v>342.54500000000002</v>
      </c>
      <c r="M12" s="19">
        <v>317.18600000000015</v>
      </c>
      <c r="N12" s="19">
        <v>319.58699999999999</v>
      </c>
    </row>
    <row r="13" spans="1:14" s="28" customFormat="1" x14ac:dyDescent="0.2">
      <c r="A13" s="28" t="s">
        <v>34</v>
      </c>
      <c r="B13" s="28">
        <f t="shared" ref="B13:G13" si="1">+B12/F12-1</f>
        <v>5.100595685473075E-2</v>
      </c>
      <c r="C13" s="28">
        <f t="shared" si="1"/>
        <v>4.1101532211115455E-2</v>
      </c>
      <c r="D13" s="28">
        <f t="shared" si="1"/>
        <v>-1.8569573697727493E-2</v>
      </c>
      <c r="E13" s="28">
        <f t="shared" si="1"/>
        <v>-0.10288969917958135</v>
      </c>
      <c r="F13" s="28">
        <f t="shared" si="1"/>
        <v>-0.11299724517906329</v>
      </c>
      <c r="G13" s="28">
        <f t="shared" si="1"/>
        <v>-7.6928353985336373E-2</v>
      </c>
      <c r="H13" s="28">
        <f t="shared" ref="H13:J13" si="2">+H12/L12-1</f>
        <v>2.0765154943146236E-2</v>
      </c>
      <c r="I13" s="28">
        <f t="shared" si="2"/>
        <v>3.7561556941352547E-2</v>
      </c>
      <c r="J13" s="28">
        <f t="shared" si="2"/>
        <v>0.13584094471927832</v>
      </c>
    </row>
    <row r="14" spans="1:14" s="23" customFormat="1" x14ac:dyDescent="0.2">
      <c r="A14" s="31" t="s">
        <v>33</v>
      </c>
      <c r="B14" s="32" t="s">
        <v>32</v>
      </c>
      <c r="C14" s="32" t="s">
        <v>32</v>
      </c>
      <c r="D14" s="32" t="s">
        <v>32</v>
      </c>
      <c r="E14" s="32" t="s">
        <v>32</v>
      </c>
      <c r="F14" s="32" t="s">
        <v>32</v>
      </c>
      <c r="G14" s="32" t="s">
        <v>32</v>
      </c>
      <c r="H14" s="32" t="s">
        <v>32</v>
      </c>
      <c r="I14" s="32" t="s">
        <v>32</v>
      </c>
      <c r="J14" s="32" t="s">
        <v>32</v>
      </c>
      <c r="K14" s="31"/>
      <c r="L14" s="31"/>
      <c r="M14" s="31"/>
      <c r="N14" s="31"/>
    </row>
    <row r="16" spans="1:14" s="22" customFormat="1" x14ac:dyDescent="0.2">
      <c r="A16" s="30" t="s">
        <v>31</v>
      </c>
      <c r="B16" s="29">
        <v>52.3</v>
      </c>
      <c r="C16" s="29">
        <v>51</v>
      </c>
      <c r="D16" s="29">
        <v>55.031999999999996</v>
      </c>
      <c r="E16" s="29">
        <v>43.649999999999892</v>
      </c>
      <c r="F16" s="29">
        <v>50.42</v>
      </c>
      <c r="G16" s="29">
        <v>52.1</v>
      </c>
      <c r="H16" s="29">
        <v>43.7</v>
      </c>
      <c r="I16" s="29">
        <v>55.343999999999909</v>
      </c>
      <c r="J16" s="29">
        <v>65.236999999999995</v>
      </c>
      <c r="K16" s="29">
        <v>68.5</v>
      </c>
      <c r="L16" s="29">
        <v>51.6</v>
      </c>
      <c r="M16" s="29">
        <v>46.65300000000002</v>
      </c>
      <c r="N16" s="29">
        <v>49.985999999999997</v>
      </c>
    </row>
    <row r="17" spans="1:14" s="28" customFormat="1" x14ac:dyDescent="0.2">
      <c r="A17" s="28" t="s">
        <v>30</v>
      </c>
      <c r="B17" s="28">
        <f t="shared" ref="B17:G17" si="3">+B16/B12</f>
        <v>0.15454854390449313</v>
      </c>
      <c r="C17" s="28">
        <f t="shared" si="3"/>
        <v>0.15169316339733199</v>
      </c>
      <c r="D17" s="28">
        <f t="shared" si="3"/>
        <v>0.16036600469162063</v>
      </c>
      <c r="E17" s="28">
        <f t="shared" si="3"/>
        <v>0.14784632111611243</v>
      </c>
      <c r="F17" s="28">
        <f t="shared" si="3"/>
        <v>0.15659260455553414</v>
      </c>
      <c r="G17" s="28">
        <f t="shared" si="3"/>
        <v>0.16133427470798806</v>
      </c>
      <c r="H17" s="28">
        <f t="shared" ref="H17:N17" si="4">+H16/H12</f>
        <v>0.12497926545367187</v>
      </c>
      <c r="I17" s="28">
        <f t="shared" si="4"/>
        <v>0.16816773017319936</v>
      </c>
      <c r="J17" s="28">
        <f t="shared" si="4"/>
        <v>0.17971625344352615</v>
      </c>
      <c r="K17" s="28">
        <f t="shared" si="4"/>
        <v>0.19580099758464461</v>
      </c>
      <c r="L17" s="28">
        <f t="shared" si="4"/>
        <v>0.15063714256521041</v>
      </c>
      <c r="M17" s="28">
        <f t="shared" si="4"/>
        <v>0.14708404532356409</v>
      </c>
      <c r="N17" s="28">
        <f t="shared" si="4"/>
        <v>0.15640811422241829</v>
      </c>
    </row>
    <row r="18" spans="1:14" s="23" customFormat="1" x14ac:dyDescent="0.2"/>
    <row r="19" spans="1:14" s="23" customFormat="1" x14ac:dyDescent="0.2">
      <c r="A19" s="15" t="s">
        <v>29</v>
      </c>
      <c r="B19" s="19">
        <v>0</v>
      </c>
      <c r="C19" s="19">
        <v>0</v>
      </c>
      <c r="D19" s="19">
        <v>0</v>
      </c>
      <c r="E19" s="19">
        <v>0</v>
      </c>
      <c r="F19" s="19">
        <v>0</v>
      </c>
      <c r="G19" s="19">
        <v>0</v>
      </c>
      <c r="H19" s="19">
        <v>0</v>
      </c>
      <c r="I19" s="19">
        <v>0</v>
      </c>
      <c r="J19" s="19">
        <v>0</v>
      </c>
      <c r="K19" s="19">
        <v>0</v>
      </c>
      <c r="L19" s="19">
        <v>0</v>
      </c>
      <c r="M19" s="19">
        <v>0</v>
      </c>
      <c r="N19" s="19">
        <v>0</v>
      </c>
    </row>
    <row r="20" spans="1:14" s="23" customFormat="1" x14ac:dyDescent="0.2">
      <c r="A20" s="15" t="s">
        <v>28</v>
      </c>
      <c r="B20" s="19">
        <v>0</v>
      </c>
      <c r="C20" s="19">
        <v>0</v>
      </c>
      <c r="D20" s="19">
        <v>0</v>
      </c>
      <c r="E20" s="19">
        <v>0</v>
      </c>
      <c r="F20" s="19">
        <v>0</v>
      </c>
      <c r="G20" s="19">
        <v>0</v>
      </c>
      <c r="H20" s="19">
        <v>0</v>
      </c>
      <c r="I20" s="19">
        <v>0</v>
      </c>
      <c r="J20" s="19">
        <v>0</v>
      </c>
      <c r="K20" s="19">
        <v>0</v>
      </c>
      <c r="L20" s="19">
        <v>0</v>
      </c>
      <c r="M20" s="19">
        <v>0</v>
      </c>
      <c r="N20" s="19">
        <v>0</v>
      </c>
    </row>
    <row r="21" spans="1:14" s="23" customFormat="1" x14ac:dyDescent="0.2">
      <c r="A21" s="15" t="s">
        <v>18</v>
      </c>
      <c r="B21" s="19">
        <v>0</v>
      </c>
      <c r="C21" s="19">
        <v>0</v>
      </c>
      <c r="D21" s="19">
        <v>0</v>
      </c>
      <c r="E21" s="19">
        <v>0</v>
      </c>
      <c r="F21" s="19">
        <v>0</v>
      </c>
      <c r="G21" s="19">
        <v>0</v>
      </c>
      <c r="H21" s="19">
        <v>0</v>
      </c>
      <c r="I21" s="19">
        <v>0</v>
      </c>
      <c r="J21" s="19">
        <v>0</v>
      </c>
      <c r="K21" s="19">
        <v>0</v>
      </c>
      <c r="L21" s="19">
        <v>0</v>
      </c>
      <c r="M21" s="19">
        <v>0</v>
      </c>
      <c r="N21" s="19">
        <v>0</v>
      </c>
    </row>
    <row r="22" spans="1:14" s="22" customFormat="1" x14ac:dyDescent="0.2">
      <c r="A22" s="22" t="s">
        <v>23</v>
      </c>
      <c r="B22" s="20">
        <f t="shared" ref="B22:G22" si="5">SUM(B16,B19:B21)</f>
        <v>52.3</v>
      </c>
      <c r="C22" s="20">
        <f t="shared" si="5"/>
        <v>51</v>
      </c>
      <c r="D22" s="20">
        <f t="shared" si="5"/>
        <v>55.031999999999996</v>
      </c>
      <c r="E22" s="20">
        <f t="shared" si="5"/>
        <v>43.649999999999892</v>
      </c>
      <c r="F22" s="20">
        <f t="shared" si="5"/>
        <v>50.42</v>
      </c>
      <c r="G22" s="20">
        <f t="shared" si="5"/>
        <v>52.1</v>
      </c>
      <c r="H22" s="20">
        <f t="shared" ref="H22:N22" si="6">SUM(H16,H19:H21)</f>
        <v>43.7</v>
      </c>
      <c r="I22" s="20">
        <f t="shared" si="6"/>
        <v>55.343999999999909</v>
      </c>
      <c r="J22" s="20">
        <f t="shared" si="6"/>
        <v>65.236999999999995</v>
      </c>
      <c r="K22" s="20">
        <f t="shared" si="6"/>
        <v>68.5</v>
      </c>
      <c r="L22" s="20">
        <f t="shared" si="6"/>
        <v>51.6</v>
      </c>
      <c r="M22" s="20">
        <f t="shared" si="6"/>
        <v>46.65300000000002</v>
      </c>
      <c r="N22" s="20">
        <f t="shared" si="6"/>
        <v>49.985999999999997</v>
      </c>
    </row>
    <row r="23" spans="1:14" s="22" customFormat="1" x14ac:dyDescent="0.2">
      <c r="B23" s="20"/>
      <c r="C23" s="20"/>
      <c r="D23" s="20"/>
      <c r="E23" s="20"/>
      <c r="F23" s="20"/>
      <c r="G23" s="20"/>
      <c r="H23" s="20"/>
      <c r="I23" s="20"/>
      <c r="J23" s="20"/>
      <c r="K23" s="20"/>
      <c r="L23" s="20"/>
      <c r="M23" s="20"/>
      <c r="N23" s="20"/>
    </row>
    <row r="24" spans="1:14" s="22" customFormat="1" x14ac:dyDescent="0.2">
      <c r="A24" s="22" t="s">
        <v>27</v>
      </c>
      <c r="B24" s="20">
        <f t="shared" ref="B24:G24" si="7">SUM(B22:E22)</f>
        <v>201.98199999999989</v>
      </c>
      <c r="C24" s="20">
        <f t="shared" si="7"/>
        <v>200.10199999999992</v>
      </c>
      <c r="D24" s="20">
        <f t="shared" si="7"/>
        <v>201.20199999999988</v>
      </c>
      <c r="E24" s="20">
        <f t="shared" si="7"/>
        <v>189.86999999999989</v>
      </c>
      <c r="F24" s="20">
        <f t="shared" si="7"/>
        <v>201.56399999999994</v>
      </c>
      <c r="G24" s="20">
        <f t="shared" si="7"/>
        <v>216.38099999999991</v>
      </c>
      <c r="H24" s="20">
        <f t="shared" ref="H24:K24" si="8">SUM(H22:K22)</f>
        <v>232.78099999999989</v>
      </c>
      <c r="I24" s="20">
        <f t="shared" si="8"/>
        <v>240.6809999999999</v>
      </c>
      <c r="J24" s="20">
        <f t="shared" si="8"/>
        <v>231.99</v>
      </c>
      <c r="K24" s="20">
        <f t="shared" si="8"/>
        <v>216.739</v>
      </c>
      <c r="L24" s="20"/>
      <c r="M24" s="20"/>
      <c r="N24" s="20"/>
    </row>
    <row r="25" spans="1:14" s="23" customFormat="1" x14ac:dyDescent="0.2">
      <c r="A25" s="15" t="s">
        <v>26</v>
      </c>
      <c r="B25" s="27">
        <v>0</v>
      </c>
      <c r="C25" s="27">
        <v>0</v>
      </c>
      <c r="D25" s="27">
        <v>0</v>
      </c>
      <c r="E25" s="27">
        <v>0</v>
      </c>
      <c r="F25" s="27">
        <v>0</v>
      </c>
      <c r="G25" s="27">
        <v>0</v>
      </c>
      <c r="H25" s="27">
        <v>0</v>
      </c>
      <c r="I25" s="27">
        <v>0</v>
      </c>
      <c r="J25" s="27">
        <v>0</v>
      </c>
      <c r="K25" s="27">
        <v>0</v>
      </c>
      <c r="L25" s="27"/>
      <c r="M25" s="27"/>
      <c r="N25" s="27"/>
    </row>
    <row r="26" spans="1:14" s="23" customFormat="1" x14ac:dyDescent="0.2">
      <c r="A26" s="15" t="s">
        <v>25</v>
      </c>
      <c r="B26" s="21">
        <v>0</v>
      </c>
      <c r="C26" s="21">
        <v>0</v>
      </c>
      <c r="D26" s="21">
        <v>0</v>
      </c>
      <c r="E26" s="21">
        <v>0</v>
      </c>
      <c r="F26" s="21">
        <v>0</v>
      </c>
      <c r="G26" s="21">
        <v>0</v>
      </c>
      <c r="H26" s="21">
        <v>0</v>
      </c>
      <c r="I26" s="21">
        <v>0</v>
      </c>
      <c r="J26" s="21">
        <v>0</v>
      </c>
      <c r="K26" s="21">
        <v>0</v>
      </c>
      <c r="L26" s="26"/>
      <c r="M26" s="26"/>
      <c r="N26" s="26"/>
    </row>
    <row r="27" spans="1:14" s="24" customFormat="1" x14ac:dyDescent="0.2">
      <c r="A27" s="22" t="s">
        <v>24</v>
      </c>
      <c r="B27" s="20">
        <f t="shared" ref="B27:G27" si="9">SUM(B24:B26)</f>
        <v>201.98199999999989</v>
      </c>
      <c r="C27" s="20">
        <f t="shared" si="9"/>
        <v>200.10199999999992</v>
      </c>
      <c r="D27" s="20">
        <f t="shared" si="9"/>
        <v>201.20199999999988</v>
      </c>
      <c r="E27" s="20">
        <f t="shared" si="9"/>
        <v>189.86999999999989</v>
      </c>
      <c r="F27" s="20">
        <f t="shared" si="9"/>
        <v>201.56399999999994</v>
      </c>
      <c r="G27" s="20">
        <f t="shared" si="9"/>
        <v>216.38099999999991</v>
      </c>
      <c r="H27" s="20">
        <f t="shared" ref="H27:K27" si="10">SUM(H24:H26)</f>
        <v>232.78099999999989</v>
      </c>
      <c r="I27" s="20">
        <f t="shared" si="10"/>
        <v>240.6809999999999</v>
      </c>
      <c r="J27" s="20">
        <f t="shared" si="10"/>
        <v>231.99</v>
      </c>
      <c r="K27" s="20">
        <f t="shared" si="10"/>
        <v>216.739</v>
      </c>
      <c r="L27" s="25"/>
      <c r="M27" s="25"/>
      <c r="N27" s="25"/>
    </row>
    <row r="28" spans="1:14" s="23" customFormat="1" x14ac:dyDescent="0.2"/>
    <row r="29" spans="1:14" s="22" customFormat="1" x14ac:dyDescent="0.2">
      <c r="A29" s="22" t="s">
        <v>23</v>
      </c>
      <c r="B29" s="20">
        <f t="shared" ref="B29:C29" si="11">B22</f>
        <v>52.3</v>
      </c>
      <c r="C29" s="20">
        <f t="shared" si="11"/>
        <v>51</v>
      </c>
      <c r="D29" s="20">
        <f t="shared" ref="D29:E29" si="12">D22</f>
        <v>55.031999999999996</v>
      </c>
      <c r="E29" s="20">
        <f t="shared" si="12"/>
        <v>43.649999999999892</v>
      </c>
      <c r="F29" s="20">
        <f t="shared" ref="F29:N29" si="13">F22</f>
        <v>50.42</v>
      </c>
      <c r="G29" s="20">
        <f t="shared" si="13"/>
        <v>52.1</v>
      </c>
      <c r="H29" s="20">
        <f t="shared" si="13"/>
        <v>43.7</v>
      </c>
      <c r="I29" s="20">
        <f t="shared" si="13"/>
        <v>55.343999999999909</v>
      </c>
      <c r="J29" s="20">
        <f t="shared" si="13"/>
        <v>65.236999999999995</v>
      </c>
      <c r="K29" s="20">
        <f t="shared" si="13"/>
        <v>68.5</v>
      </c>
      <c r="L29" s="20">
        <f t="shared" si="13"/>
        <v>51.6</v>
      </c>
      <c r="M29" s="20">
        <f t="shared" si="13"/>
        <v>46.65300000000002</v>
      </c>
      <c r="N29" s="20">
        <f t="shared" si="13"/>
        <v>49.985999999999997</v>
      </c>
    </row>
    <row r="30" spans="1:14" s="11" customFormat="1" x14ac:dyDescent="0.2">
      <c r="A30" s="19" t="s">
        <v>22</v>
      </c>
      <c r="B30" s="19">
        <v>-8.3089999999999975</v>
      </c>
      <c r="C30" s="19">
        <v>-32.463000000000001</v>
      </c>
      <c r="D30" s="19">
        <v>-17.143000000000001</v>
      </c>
      <c r="E30" s="19">
        <v>-27.811999999999991</v>
      </c>
      <c r="F30" s="19">
        <f>-58.895-G30-H30</f>
        <v>-14.054000000000004</v>
      </c>
      <c r="G30" s="19">
        <v>-32.128</v>
      </c>
      <c r="H30" s="19">
        <v>-12.712999999999999</v>
      </c>
      <c r="I30" s="19">
        <v>-10.967999999999989</v>
      </c>
      <c r="J30" s="19">
        <f>-56.371-K30-L30</f>
        <v>-13.667000000000005</v>
      </c>
      <c r="K30" s="19">
        <v>-20.156000000000002</v>
      </c>
      <c r="L30" s="19">
        <v>-22.547999999999998</v>
      </c>
      <c r="M30" s="19">
        <v>-18.041000000000004</v>
      </c>
      <c r="N30" s="19">
        <v>-17.842999999999996</v>
      </c>
    </row>
    <row r="31" spans="1:14" s="11" customFormat="1" x14ac:dyDescent="0.2">
      <c r="A31" s="19" t="s">
        <v>21</v>
      </c>
      <c r="B31" s="19">
        <v>-0.48299999999999987</v>
      </c>
      <c r="C31" s="19">
        <v>-0.2410000000000001</v>
      </c>
      <c r="D31" s="19">
        <v>-1.204</v>
      </c>
      <c r="E31" s="19">
        <v>4.4999999999999929E-2</v>
      </c>
      <c r="F31" s="19">
        <f>-2.535-G31-H31</f>
        <v>-0.28200000000000003</v>
      </c>
      <c r="G31" s="19">
        <v>-1.1900000000000002</v>
      </c>
      <c r="H31" s="19">
        <v>-1.0629999999999999</v>
      </c>
      <c r="I31" s="19">
        <v>-0.96199999999999974</v>
      </c>
      <c r="J31" s="19">
        <f>-2.922-K31-L31</f>
        <v>-1.6760000000000002</v>
      </c>
      <c r="K31" s="19">
        <v>-1.024</v>
      </c>
      <c r="L31" s="19">
        <v>-0.222</v>
      </c>
      <c r="M31" s="19">
        <v>-1.3580000000000001</v>
      </c>
      <c r="N31" s="19">
        <v>-0.46700000000000014</v>
      </c>
    </row>
    <row r="32" spans="1:14" s="11" customFormat="1" x14ac:dyDescent="0.2">
      <c r="A32" s="19" t="s">
        <v>20</v>
      </c>
      <c r="B32" s="19">
        <v>24.477000000000004</v>
      </c>
      <c r="C32" s="19">
        <v>-14.151</v>
      </c>
      <c r="D32" s="19">
        <v>1.5279999999999996</v>
      </c>
      <c r="E32" s="19">
        <v>2.7970000000000041</v>
      </c>
      <c r="F32" s="19">
        <f>-8.422+0.799-1.311-12.38-18.41+24.264-G32-H32</f>
        <v>12.455999999999992</v>
      </c>
      <c r="G32" s="19">
        <v>-29.016999999999996</v>
      </c>
      <c r="H32" s="19">
        <v>1.1009999999999991</v>
      </c>
      <c r="I32" s="19">
        <v>0.56500000000000483</v>
      </c>
      <c r="J32" s="19">
        <f>-13.517-0.123+1.453+0.121+8.565+21.749-K32-L32</f>
        <v>35.128</v>
      </c>
      <c r="K32" s="19">
        <v>-1.5</v>
      </c>
      <c r="L32" s="19">
        <v>-15.379999999999999</v>
      </c>
      <c r="M32" s="19">
        <v>25.241999999999997</v>
      </c>
      <c r="N32" s="19">
        <v>-13.147999999999996</v>
      </c>
    </row>
    <row r="33" spans="1:14" s="11" customFormat="1" x14ac:dyDescent="0.2">
      <c r="A33" s="19" t="s">
        <v>19</v>
      </c>
      <c r="B33" s="19">
        <v>-5.27800000000002</v>
      </c>
      <c r="C33" s="19">
        <v>-5.27800000000002</v>
      </c>
      <c r="D33" s="19">
        <v>-7.9829999999999899</v>
      </c>
      <c r="E33" s="19">
        <v>-1.87400000000014</v>
      </c>
      <c r="F33" s="19">
        <v>-12.734999999999999</v>
      </c>
      <c r="G33" s="19">
        <v>-7.8679999999999861</v>
      </c>
      <c r="H33" s="19">
        <v>-6.8179999999999845</v>
      </c>
      <c r="I33" s="19">
        <v>-12.343999999999905</v>
      </c>
      <c r="J33" s="19">
        <v>-9.1420000000000137</v>
      </c>
      <c r="K33" s="19">
        <v>-6.4769999999999746</v>
      </c>
      <c r="L33" s="19">
        <v>-4.4369999999999798</v>
      </c>
      <c r="M33" s="19">
        <v>-35.338999999999928</v>
      </c>
      <c r="N33" s="19">
        <v>-6.6970000000000107</v>
      </c>
    </row>
    <row r="34" spans="1:14" s="11" customFormat="1" x14ac:dyDescent="0.2">
      <c r="A34" s="19" t="s">
        <v>18</v>
      </c>
      <c r="B34" s="21">
        <f t="shared" ref="B34" si="14">B35-B29-B30-B31-B32-B33</f>
        <v>-13.135999999999985</v>
      </c>
      <c r="C34" s="21">
        <f t="shared" ref="C34:N34" si="15">C35-C29-C30-C31-C32-C33</f>
        <v>10.160000000000021</v>
      </c>
      <c r="D34" s="21">
        <f t="shared" si="15"/>
        <v>-4.7740000000000045</v>
      </c>
      <c r="E34" s="21">
        <f t="shared" si="15"/>
        <v>5.0500000000002361</v>
      </c>
      <c r="F34" s="21">
        <f t="shared" si="15"/>
        <v>-4.4119999999999919</v>
      </c>
      <c r="G34" s="21">
        <f t="shared" si="15"/>
        <v>1.8969999999999825</v>
      </c>
      <c r="H34" s="21">
        <f t="shared" si="15"/>
        <v>-8.6860000000000177</v>
      </c>
      <c r="I34" s="21">
        <f t="shared" si="15"/>
        <v>-9.5880000000000365</v>
      </c>
      <c r="J34" s="21">
        <f t="shared" si="15"/>
        <v>-6.9919999999999725</v>
      </c>
      <c r="K34" s="21">
        <f t="shared" si="15"/>
        <v>-28.814000000000021</v>
      </c>
      <c r="L34" s="21">
        <f t="shared" si="15"/>
        <v>2.6499999999999808</v>
      </c>
      <c r="M34" s="21">
        <f t="shared" si="15"/>
        <v>10.743999999999911</v>
      </c>
      <c r="N34" s="21">
        <f t="shared" si="15"/>
        <v>-2.2950000000000008</v>
      </c>
    </row>
    <row r="35" spans="1:14" s="20" customFormat="1" x14ac:dyDescent="0.2">
      <c r="A35" s="20" t="s">
        <v>17</v>
      </c>
      <c r="B35" s="20">
        <v>49.570999999999998</v>
      </c>
      <c r="C35" s="20">
        <v>9.0269999999999975</v>
      </c>
      <c r="D35" s="20">
        <v>25.456</v>
      </c>
      <c r="E35" s="20">
        <v>21.856000000000002</v>
      </c>
      <c r="F35" s="20">
        <f>30.708-G35-H35</f>
        <v>31.393000000000001</v>
      </c>
      <c r="G35" s="20">
        <v>-16.206</v>
      </c>
      <c r="H35" s="20">
        <v>15.521000000000001</v>
      </c>
      <c r="I35" s="20">
        <v>22.046999999999983</v>
      </c>
      <c r="J35" s="20">
        <f>91.08-K35-L35</f>
        <v>68.888000000000005</v>
      </c>
      <c r="K35" s="20">
        <v>10.529</v>
      </c>
      <c r="L35" s="20">
        <v>11.663</v>
      </c>
      <c r="M35" s="20">
        <v>27.900999999999996</v>
      </c>
      <c r="N35" s="20">
        <v>9.5359999999999978</v>
      </c>
    </row>
    <row r="36" spans="1:14" s="11" customFormat="1" x14ac:dyDescent="0.2">
      <c r="A36" s="19" t="s">
        <v>16</v>
      </c>
      <c r="B36" s="21">
        <v>-20.203999999999997</v>
      </c>
      <c r="C36" s="21">
        <v>-21.763999999999999</v>
      </c>
      <c r="D36" s="21">
        <v>-19.690999999999999</v>
      </c>
      <c r="E36" s="21">
        <v>-19.585000000000001</v>
      </c>
      <c r="F36" s="21">
        <f>-46.15-G36-H36</f>
        <v>-21.070999999999998</v>
      </c>
      <c r="G36" s="21">
        <v>-12.679</v>
      </c>
      <c r="H36" s="21">
        <v>-12.4</v>
      </c>
      <c r="I36" s="21">
        <v>-17.130000000000003</v>
      </c>
      <c r="J36" s="21">
        <f>-37.022-K36-L36</f>
        <v>-7.9309999999999974</v>
      </c>
      <c r="K36" s="21">
        <v>-13.591000000000001</v>
      </c>
      <c r="L36" s="21">
        <v>-15.5</v>
      </c>
      <c r="M36" s="21">
        <v>-44.168000000000006</v>
      </c>
      <c r="N36" s="21">
        <v>-28.273999999999994</v>
      </c>
    </row>
    <row r="37" spans="1:14" s="20" customFormat="1" x14ac:dyDescent="0.2">
      <c r="A37" s="20" t="s">
        <v>15</v>
      </c>
      <c r="B37" s="20">
        <f t="shared" ref="B37:G37" si="16">+B35+B36</f>
        <v>29.367000000000001</v>
      </c>
      <c r="C37" s="20">
        <f t="shared" si="16"/>
        <v>-12.737000000000002</v>
      </c>
      <c r="D37" s="20">
        <f t="shared" si="16"/>
        <v>5.7650000000000006</v>
      </c>
      <c r="E37" s="20">
        <f t="shared" si="16"/>
        <v>2.2710000000000008</v>
      </c>
      <c r="F37" s="20">
        <f t="shared" si="16"/>
        <v>10.322000000000003</v>
      </c>
      <c r="G37" s="20">
        <f t="shared" si="16"/>
        <v>-28.884999999999998</v>
      </c>
      <c r="H37" s="20">
        <f t="shared" ref="H37:N37" si="17">+H35+H36</f>
        <v>3.1210000000000004</v>
      </c>
      <c r="I37" s="20">
        <f t="shared" si="17"/>
        <v>4.9169999999999803</v>
      </c>
      <c r="J37" s="20">
        <f t="shared" si="17"/>
        <v>60.957000000000008</v>
      </c>
      <c r="K37" s="20">
        <f t="shared" si="17"/>
        <v>-3.0620000000000012</v>
      </c>
      <c r="L37" s="20">
        <f t="shared" si="17"/>
        <v>-3.8369999999999997</v>
      </c>
      <c r="M37" s="20">
        <f t="shared" si="17"/>
        <v>-16.26700000000001</v>
      </c>
      <c r="N37" s="20">
        <f t="shared" si="17"/>
        <v>-18.737999999999996</v>
      </c>
    </row>
    <row r="39" spans="1:14" s="16" customFormat="1" x14ac:dyDescent="0.2">
      <c r="A39" s="18" t="s">
        <v>14</v>
      </c>
      <c r="B39" s="19">
        <v>0</v>
      </c>
      <c r="C39" s="19">
        <v>0</v>
      </c>
      <c r="D39" s="19">
        <v>0</v>
      </c>
      <c r="E39" s="19">
        <v>0</v>
      </c>
      <c r="F39" s="19">
        <v>0</v>
      </c>
      <c r="G39" s="19">
        <v>0</v>
      </c>
      <c r="H39" s="19">
        <v>0</v>
      </c>
      <c r="I39" s="19">
        <v>0</v>
      </c>
      <c r="J39" s="19">
        <v>0</v>
      </c>
      <c r="K39" s="19">
        <v>0</v>
      </c>
      <c r="L39" s="19"/>
      <c r="M39" s="19"/>
      <c r="N39" s="19"/>
    </row>
    <row r="40" spans="1:14" s="16" customFormat="1" x14ac:dyDescent="0.2">
      <c r="A40" s="18" t="s">
        <v>13</v>
      </c>
      <c r="B40" s="19">
        <f>799.4+37.8</f>
        <v>837.19999999999993</v>
      </c>
      <c r="C40" s="19">
        <f>799.4+30.1</f>
        <v>829.5</v>
      </c>
      <c r="D40" s="19">
        <f>801.436+24.339+7.45</f>
        <v>833.22500000000014</v>
      </c>
      <c r="E40" s="19">
        <v>805.53200000000004</v>
      </c>
      <c r="F40" s="19">
        <f>8.192+797.34</f>
        <v>805.53200000000004</v>
      </c>
      <c r="G40" s="19">
        <v>807.58</v>
      </c>
      <c r="H40" s="19">
        <v>809.62900000000002</v>
      </c>
      <c r="I40" s="19">
        <f>19.263+797.937</f>
        <v>817.2</v>
      </c>
      <c r="J40" s="19">
        <v>819.24800000000005</v>
      </c>
      <c r="K40" s="19">
        <v>821.31100000000004</v>
      </c>
      <c r="L40" s="19"/>
      <c r="M40" s="19"/>
      <c r="N40" s="19"/>
    </row>
    <row r="41" spans="1:14" s="16" customFormat="1" x14ac:dyDescent="0.2">
      <c r="A41" s="18" t="s">
        <v>12</v>
      </c>
      <c r="B41" s="19">
        <f>B39+B40+530</f>
        <v>1367.1999999999998</v>
      </c>
      <c r="C41" s="19">
        <f>C39+C40+530</f>
        <v>1359.5</v>
      </c>
      <c r="D41" s="19">
        <f>D39+D40+530</f>
        <v>1363.2250000000001</v>
      </c>
      <c r="E41" s="19">
        <f>E39+E40+530+32.8</f>
        <v>1368.3320000000001</v>
      </c>
      <c r="F41" s="19">
        <f>F39+F40+4.691+530+4.363+10.375+11.759</f>
        <v>1366.72</v>
      </c>
      <c r="G41" s="19">
        <v>1369.95</v>
      </c>
      <c r="H41" s="19">
        <v>1374.732</v>
      </c>
      <c r="I41" s="19">
        <f>I39+I40+6.603+530+4.106+13.185+11.665</f>
        <v>1382.7589999999998</v>
      </c>
      <c r="J41" s="19">
        <v>1384.047</v>
      </c>
      <c r="K41" s="19">
        <v>1385.76</v>
      </c>
      <c r="L41" s="19"/>
      <c r="M41" s="19"/>
      <c r="N41" s="19"/>
    </row>
    <row r="42" spans="1:14" s="16" customFormat="1" x14ac:dyDescent="0.2">
      <c r="A42" s="18" t="s">
        <v>11</v>
      </c>
      <c r="B42" s="17">
        <v>0</v>
      </c>
      <c r="C42" s="17">
        <v>0</v>
      </c>
      <c r="D42" s="17">
        <v>0</v>
      </c>
      <c r="E42" s="17">
        <v>0</v>
      </c>
      <c r="F42" s="17">
        <v>0</v>
      </c>
      <c r="G42" s="17">
        <v>0</v>
      </c>
      <c r="H42" s="17">
        <v>0</v>
      </c>
      <c r="I42" s="17">
        <v>0</v>
      </c>
      <c r="J42" s="17">
        <v>0</v>
      </c>
      <c r="K42" s="17">
        <v>0</v>
      </c>
      <c r="L42" s="17"/>
      <c r="M42" s="17"/>
      <c r="N42" s="17"/>
    </row>
    <row r="43" spans="1:14" x14ac:dyDescent="0.2">
      <c r="B43" s="16"/>
      <c r="C43" s="16"/>
      <c r="D43" s="16"/>
      <c r="E43" s="16"/>
      <c r="F43" s="16"/>
      <c r="G43" s="16"/>
      <c r="H43" s="16"/>
      <c r="I43" s="16"/>
    </row>
    <row r="44" spans="1:14" x14ac:dyDescent="0.2">
      <c r="A44" s="15" t="s">
        <v>10</v>
      </c>
      <c r="B44" s="27">
        <v>66.231999999999999</v>
      </c>
      <c r="C44" s="27">
        <v>29.251999999999999</v>
      </c>
      <c r="D44" s="27">
        <v>45.997999999999998</v>
      </c>
      <c r="E44" s="27">
        <v>45.201999999999998</v>
      </c>
      <c r="F44" s="27">
        <v>41.680999999999997</v>
      </c>
      <c r="G44" s="27">
        <v>31.4</v>
      </c>
      <c r="H44" s="27">
        <v>80.099999999999994</v>
      </c>
      <c r="I44" s="27">
        <v>98.096999999999994</v>
      </c>
      <c r="J44" s="27">
        <v>96.119</v>
      </c>
      <c r="K44" s="27">
        <v>40.9</v>
      </c>
      <c r="L44" s="27"/>
      <c r="M44" s="14"/>
      <c r="N44" s="14"/>
    </row>
    <row r="46" spans="1:14" x14ac:dyDescent="0.2">
      <c r="A46" s="1" t="s">
        <v>9</v>
      </c>
      <c r="B46" s="11">
        <f t="shared" ref="B46:K46" si="18">SUM(B12:E12)</f>
        <v>1313.0139999999997</v>
      </c>
      <c r="C46" s="11">
        <f t="shared" si="18"/>
        <v>1296.5909999999999</v>
      </c>
      <c r="D46" s="11">
        <f t="shared" si="18"/>
        <v>1283.3179999999998</v>
      </c>
      <c r="E46" s="11">
        <f t="shared" si="18"/>
        <v>1289.8109999999997</v>
      </c>
      <c r="F46" s="11">
        <f t="shared" si="18"/>
        <v>1323.672</v>
      </c>
      <c r="G46" s="11">
        <f t="shared" si="18"/>
        <v>1364.69</v>
      </c>
      <c r="H46" s="11">
        <f t="shared" si="18"/>
        <v>1391.6030000000001</v>
      </c>
      <c r="I46" s="11">
        <f t="shared" si="18"/>
        <v>1384.4900000000002</v>
      </c>
      <c r="J46" s="11">
        <f t="shared" si="18"/>
        <v>1372.5760000000002</v>
      </c>
      <c r="K46" s="11">
        <f t="shared" si="18"/>
        <v>1329.1630000000002</v>
      </c>
    </row>
    <row r="47" spans="1:14" x14ac:dyDescent="0.2">
      <c r="A47" s="1" t="s">
        <v>8</v>
      </c>
      <c r="B47" s="11">
        <f t="shared" ref="B47" si="19">+B27</f>
        <v>201.98199999999989</v>
      </c>
      <c r="C47" s="11">
        <f t="shared" ref="C47:D47" si="20">+C27</f>
        <v>200.10199999999992</v>
      </c>
      <c r="D47" s="11">
        <f t="shared" si="20"/>
        <v>201.20199999999988</v>
      </c>
      <c r="E47" s="11">
        <f t="shared" ref="E47:K47" si="21">+E27</f>
        <v>189.86999999999989</v>
      </c>
      <c r="F47" s="11">
        <f t="shared" si="21"/>
        <v>201.56399999999994</v>
      </c>
      <c r="G47" s="11">
        <f t="shared" si="21"/>
        <v>216.38099999999991</v>
      </c>
      <c r="H47" s="11">
        <f t="shared" si="21"/>
        <v>232.78099999999989</v>
      </c>
      <c r="I47" s="11">
        <f t="shared" si="21"/>
        <v>240.6809999999999</v>
      </c>
      <c r="J47" s="11">
        <f t="shared" si="21"/>
        <v>231.99</v>
      </c>
      <c r="K47" s="11">
        <f t="shared" si="21"/>
        <v>216.739</v>
      </c>
    </row>
    <row r="48" spans="1:14" x14ac:dyDescent="0.2">
      <c r="A48" s="1" t="s">
        <v>7</v>
      </c>
      <c r="B48" s="11">
        <f t="shared" ref="B48:K48" si="22">+SUM(B37:E37)</f>
        <v>24.666</v>
      </c>
      <c r="C48" s="11">
        <f t="shared" si="22"/>
        <v>5.6210000000000022</v>
      </c>
      <c r="D48" s="11">
        <f t="shared" si="22"/>
        <v>-10.526999999999994</v>
      </c>
      <c r="E48" s="11">
        <f t="shared" si="22"/>
        <v>-13.170999999999994</v>
      </c>
      <c r="F48" s="11">
        <f t="shared" si="22"/>
        <v>-10.525000000000015</v>
      </c>
      <c r="G48" s="11">
        <f t="shared" si="22"/>
        <v>40.109999999999992</v>
      </c>
      <c r="H48" s="11">
        <f t="shared" si="22"/>
        <v>65.932999999999993</v>
      </c>
      <c r="I48" s="11">
        <f t="shared" si="22"/>
        <v>58.974999999999994</v>
      </c>
      <c r="J48" s="11">
        <f t="shared" si="22"/>
        <v>37.790999999999997</v>
      </c>
      <c r="K48" s="11">
        <f t="shared" si="22"/>
        <v>-41.904000000000011</v>
      </c>
    </row>
    <row r="50" spans="1:14" s="10" customFormat="1" x14ac:dyDescent="0.2">
      <c r="A50" s="10" t="s">
        <v>6</v>
      </c>
      <c r="B50" s="10">
        <f t="shared" ref="B50:G50" si="23">+SUM(B39:B40)/B47</f>
        <v>4.1449238050915449</v>
      </c>
      <c r="C50" s="10">
        <f t="shared" si="23"/>
        <v>4.1453858532148624</v>
      </c>
      <c r="D50" s="10">
        <f t="shared" si="23"/>
        <v>4.1412361706146097</v>
      </c>
      <c r="E50" s="10">
        <f t="shared" si="23"/>
        <v>4.2425448991415209</v>
      </c>
      <c r="F50" s="10">
        <f t="shared" si="23"/>
        <v>3.9964080887460076</v>
      </c>
      <c r="G50" s="10">
        <f t="shared" si="23"/>
        <v>3.7322130871009946</v>
      </c>
      <c r="H50" s="10">
        <f t="shared" ref="H50:K50" si="24">+SUM(H39:H40)/H47</f>
        <v>3.4780716639244629</v>
      </c>
      <c r="I50" s="10">
        <f t="shared" si="24"/>
        <v>3.395365649968217</v>
      </c>
      <c r="J50" s="10">
        <f t="shared" si="24"/>
        <v>3.5313935945514894</v>
      </c>
      <c r="K50" s="10">
        <f t="shared" si="24"/>
        <v>3.7894010768712598</v>
      </c>
    </row>
    <row r="51" spans="1:14" s="10" customFormat="1" x14ac:dyDescent="0.2">
      <c r="A51" s="10" t="s">
        <v>5</v>
      </c>
      <c r="B51" s="10">
        <f t="shared" ref="B51:G51" si="25">+B41/B47</f>
        <v>6.7689200027725276</v>
      </c>
      <c r="C51" s="10">
        <f t="shared" si="25"/>
        <v>6.7940350421285176</v>
      </c>
      <c r="D51" s="10">
        <f t="shared" si="25"/>
        <v>6.7754048170495365</v>
      </c>
      <c r="E51" s="10">
        <f t="shared" si="25"/>
        <v>7.2066782535419014</v>
      </c>
      <c r="F51" s="10">
        <f t="shared" si="25"/>
        <v>6.7805758964894549</v>
      </c>
      <c r="G51" s="10">
        <f t="shared" si="25"/>
        <v>6.3311935890859203</v>
      </c>
      <c r="H51" s="10">
        <f t="shared" ref="H51:K51" si="26">+H41/H47</f>
        <v>5.9056881790180498</v>
      </c>
      <c r="I51" s="10">
        <f t="shared" si="26"/>
        <v>5.7451938457958889</v>
      </c>
      <c r="J51" s="10">
        <f t="shared" si="26"/>
        <v>5.9659769817664552</v>
      </c>
      <c r="K51" s="10">
        <f t="shared" si="26"/>
        <v>6.3936808788450623</v>
      </c>
    </row>
    <row r="52" spans="1:14" s="10" customFormat="1" x14ac:dyDescent="0.2">
      <c r="A52" s="10" t="s">
        <v>4</v>
      </c>
      <c r="B52" s="10">
        <f t="shared" ref="B52:G52" si="27">+(B41-B44)/B47</f>
        <v>6.4410095949144015</v>
      </c>
      <c r="C52" s="10">
        <f t="shared" si="27"/>
        <v>6.647849596705683</v>
      </c>
      <c r="D52" s="10">
        <f t="shared" si="27"/>
        <v>6.546788799316114</v>
      </c>
      <c r="E52" s="10">
        <f t="shared" si="27"/>
        <v>6.9686101016485011</v>
      </c>
      <c r="F52" s="10">
        <f t="shared" si="27"/>
        <v>6.573787978011949</v>
      </c>
      <c r="G52" s="10">
        <f t="shared" si="27"/>
        <v>6.1860791844015903</v>
      </c>
      <c r="H52" s="10">
        <f t="shared" ref="H52:K52" si="28">+(H41-H44)/H47</f>
        <v>5.5615879302864091</v>
      </c>
      <c r="I52" s="10">
        <f t="shared" si="28"/>
        <v>5.3376128568520169</v>
      </c>
      <c r="J52" s="10">
        <f t="shared" si="28"/>
        <v>5.5516530884951942</v>
      </c>
      <c r="K52" s="10">
        <f t="shared" si="28"/>
        <v>6.2049746469255647</v>
      </c>
    </row>
    <row r="53" spans="1:14" s="6" customFormat="1" x14ac:dyDescent="0.2">
      <c r="A53" s="6" t="s">
        <v>3</v>
      </c>
      <c r="B53" s="6">
        <f t="shared" ref="B53:C53" si="29">+B48/B41</f>
        <v>1.8041252194265656E-2</v>
      </c>
      <c r="C53" s="6">
        <f t="shared" si="29"/>
        <v>4.1346083118793692E-3</v>
      </c>
      <c r="D53" s="6">
        <f t="shared" ref="D53:E53" si="30">+D48/D41</f>
        <v>-7.7221295090685637E-3</v>
      </c>
      <c r="E53" s="6">
        <f t="shared" si="30"/>
        <v>-9.6255879421076121E-3</v>
      </c>
      <c r="F53" s="6">
        <f t="shared" ref="F53:K53" si="31">+F48/F41</f>
        <v>-7.7009189885272871E-3</v>
      </c>
      <c r="G53" s="6">
        <f t="shared" si="31"/>
        <v>2.9278440819007986E-2</v>
      </c>
      <c r="H53" s="6">
        <f t="shared" si="31"/>
        <v>4.7960620688250508E-2</v>
      </c>
      <c r="I53" s="6">
        <f t="shared" si="31"/>
        <v>4.2650237676992164E-2</v>
      </c>
      <c r="J53" s="6">
        <f t="shared" si="31"/>
        <v>2.7304708582873267E-2</v>
      </c>
      <c r="K53" s="6">
        <f t="shared" si="31"/>
        <v>-3.0239002424662285E-2</v>
      </c>
    </row>
    <row r="54" spans="1:14" s="6" customFormat="1" x14ac:dyDescent="0.2">
      <c r="A54" s="8" t="s">
        <v>2</v>
      </c>
      <c r="B54" s="9">
        <v>9</v>
      </c>
      <c r="C54" s="9">
        <v>9</v>
      </c>
      <c r="D54" s="9">
        <v>9</v>
      </c>
      <c r="E54" s="9">
        <v>9</v>
      </c>
      <c r="F54" s="9">
        <v>9</v>
      </c>
      <c r="G54" s="9">
        <v>9</v>
      </c>
      <c r="H54" s="9"/>
      <c r="I54" s="9"/>
      <c r="J54" s="9"/>
      <c r="K54" s="9"/>
      <c r="L54" s="8"/>
      <c r="M54" s="8"/>
      <c r="N54" s="8"/>
    </row>
    <row r="55" spans="1:14" s="6" customFormat="1" x14ac:dyDescent="0.2">
      <c r="A55" s="6" t="s">
        <v>1</v>
      </c>
      <c r="B55" s="7" t="str">
        <f t="shared" ref="B55:C55" si="32">IF(B42=0,IF(B54="","","*"&amp;TEXT(B54,"0.0x")),(B41+B42-B44)/B47)</f>
        <v>*9.0x</v>
      </c>
      <c r="C55" s="7" t="str">
        <f t="shared" si="32"/>
        <v>*9.0x</v>
      </c>
      <c r="D55" s="7" t="str">
        <f t="shared" ref="D55:E55" si="33">IF(D42=0,IF(D54="","","*"&amp;TEXT(D54,"0.0x")),(D41+D42-D44)/D47)</f>
        <v>*9.0x</v>
      </c>
      <c r="E55" s="7" t="str">
        <f t="shared" si="33"/>
        <v>*9.0x</v>
      </c>
      <c r="F55" s="7" t="str">
        <f t="shared" ref="F55:K55" si="34">IF(F42=0,IF(F54="","","*"&amp;TEXT(F54,"0.0x")),(F41+F42-F44)/F47)</f>
        <v>*9.0x</v>
      </c>
      <c r="G55" s="7" t="str">
        <f t="shared" si="34"/>
        <v>*9.0x</v>
      </c>
      <c r="H55" s="7" t="str">
        <f t="shared" si="34"/>
        <v/>
      </c>
      <c r="I55" s="7" t="str">
        <f t="shared" si="34"/>
        <v/>
      </c>
      <c r="J55" s="7" t="str">
        <f t="shared" si="34"/>
        <v/>
      </c>
      <c r="K55" s="7" t="str">
        <f t="shared" si="34"/>
        <v/>
      </c>
      <c r="L55" s="7" t="str">
        <f t="shared" ref="L55:N55" si="35">IF(L42=0,IF(L54="","",CONCATENATE("* ",L54,"x")),(L41+L42-L44)/L47)</f>
        <v/>
      </c>
      <c r="M55" s="7" t="str">
        <f t="shared" si="35"/>
        <v/>
      </c>
      <c r="N55" s="7" t="str">
        <f t="shared" si="35"/>
        <v/>
      </c>
    </row>
    <row r="56" spans="1:14" x14ac:dyDescent="0.2">
      <c r="K56" s="3"/>
    </row>
    <row r="57" spans="1:14" ht="80.25" customHeight="1" x14ac:dyDescent="0.2">
      <c r="A57" s="5" t="s">
        <v>0</v>
      </c>
      <c r="B57" s="4" t="s">
        <v>104</v>
      </c>
      <c r="C57" s="4" t="s">
        <v>104</v>
      </c>
      <c r="D57" s="4" t="s">
        <v>104</v>
      </c>
      <c r="E57" s="4" t="s">
        <v>104</v>
      </c>
      <c r="F57" s="4" t="s">
        <v>235</v>
      </c>
      <c r="G57" s="4" t="s">
        <v>104</v>
      </c>
      <c r="H57" s="4"/>
      <c r="I57" s="4"/>
      <c r="J57" s="4"/>
      <c r="K57" s="4"/>
      <c r="L57" s="4"/>
      <c r="M57" s="4"/>
      <c r="N57" s="4"/>
    </row>
    <row r="58" spans="1:14" x14ac:dyDescent="0.2">
      <c r="A58" s="2"/>
      <c r="B58" s="3"/>
      <c r="C58" s="3"/>
      <c r="D58" s="3"/>
      <c r="E58" s="3"/>
      <c r="F58" s="3"/>
      <c r="G58" s="3"/>
    </row>
    <row r="59" spans="1:14" x14ac:dyDescent="0.2">
      <c r="A59" s="2"/>
    </row>
  </sheetData>
  <pageMargins left="0.7" right="0.7" top="0.75" bottom="0.75" header="0.3" footer="0.3"/>
  <pageSetup orientation="portrait" r:id="rId1"/>
  <ignoredErrors>
    <ignoredError sqref="C46:K51" formulaRange="1"/>
  </ignoredErrors>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2:AB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0" width="10.7109375" style="1" customWidth="1"/>
    <col min="21" max="16384" width="9.140625" style="1"/>
  </cols>
  <sheetData>
    <row r="2" spans="1:28" x14ac:dyDescent="0.2">
      <c r="A2" s="34" t="s">
        <v>45</v>
      </c>
      <c r="B2" s="1" t="s">
        <v>234</v>
      </c>
    </row>
    <row r="3" spans="1:28" s="35" customFormat="1" x14ac:dyDescent="0.2">
      <c r="A3" s="36" t="s">
        <v>43</v>
      </c>
      <c r="B3" s="35" t="s">
        <v>232</v>
      </c>
    </row>
    <row r="4" spans="1:28" x14ac:dyDescent="0.2">
      <c r="A4" s="34" t="s">
        <v>41</v>
      </c>
      <c r="B4" s="1" t="s">
        <v>40</v>
      </c>
    </row>
    <row r="5" spans="1:28" x14ac:dyDescent="0.2">
      <c r="A5" s="34" t="s">
        <v>39</v>
      </c>
    </row>
    <row r="6" spans="1:28" x14ac:dyDescent="0.2">
      <c r="A6" s="34" t="s">
        <v>38</v>
      </c>
      <c r="B6" s="1">
        <v>3</v>
      </c>
    </row>
    <row r="7" spans="1:28" x14ac:dyDescent="0.2">
      <c r="A7" s="34" t="s">
        <v>37</v>
      </c>
      <c r="B7" s="1" t="s">
        <v>233</v>
      </c>
    </row>
    <row r="8" spans="1:28" x14ac:dyDescent="0.2">
      <c r="A8" s="34" t="s">
        <v>281</v>
      </c>
      <c r="B8" s="1" t="s">
        <v>289</v>
      </c>
    </row>
    <row r="9" spans="1:28" x14ac:dyDescent="0.2">
      <c r="A9" s="22"/>
    </row>
    <row r="10" spans="1:28"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v>43281</v>
      </c>
      <c r="O10" s="33">
        <v>43190</v>
      </c>
      <c r="P10" s="33">
        <v>43100</v>
      </c>
      <c r="Q10" s="33">
        <v>43008</v>
      </c>
      <c r="R10" s="33">
        <v>42916</v>
      </c>
      <c r="S10" s="33">
        <v>42825</v>
      </c>
      <c r="T10" s="33">
        <v>42735</v>
      </c>
    </row>
    <row r="12" spans="1:28" x14ac:dyDescent="0.2">
      <c r="A12" s="15" t="s">
        <v>35</v>
      </c>
      <c r="B12" s="19">
        <v>831.35699999999997</v>
      </c>
      <c r="C12" s="19">
        <v>855.83299999999997</v>
      </c>
      <c r="D12" s="19">
        <v>827.05200000000013</v>
      </c>
      <c r="E12" s="19">
        <v>774.58100000000002</v>
      </c>
      <c r="F12" s="19">
        <v>761.59699999999998</v>
      </c>
      <c r="G12" s="19">
        <v>781.34699999999998</v>
      </c>
      <c r="H12" s="19">
        <v>882.05200000000013</v>
      </c>
      <c r="I12" s="19">
        <v>749.81799999999998</v>
      </c>
      <c r="J12" s="19">
        <v>723.81899999999996</v>
      </c>
      <c r="K12" s="19">
        <v>753.33</v>
      </c>
      <c r="L12" s="19">
        <f>1029.989+602.544-M12-N12-O12</f>
        <v>503.51300000000009</v>
      </c>
      <c r="M12" s="19">
        <v>366.97699999999998</v>
      </c>
      <c r="N12" s="19">
        <f>159.499+226.026</f>
        <v>385.52499999999998</v>
      </c>
      <c r="O12" s="19">
        <v>376.51799999999997</v>
      </c>
      <c r="P12" s="19">
        <v>364.09000000000003</v>
      </c>
      <c r="Q12" s="19">
        <v>326.39</v>
      </c>
      <c r="R12" s="19">
        <v>331.31200000000001</v>
      </c>
      <c r="S12" s="19">
        <v>309.39600000000002</v>
      </c>
      <c r="T12" s="19">
        <v>326.49799999999982</v>
      </c>
    </row>
    <row r="13" spans="1:28" s="28" customFormat="1" x14ac:dyDescent="0.2">
      <c r="A13" s="28" t="s">
        <v>34</v>
      </c>
      <c r="B13" s="28">
        <f t="shared" ref="B13:M13" si="0">+B12/F12-1</f>
        <v>9.1596999462970619E-2</v>
      </c>
      <c r="C13" s="28">
        <f t="shared" si="0"/>
        <v>9.5330243796930114E-2</v>
      </c>
      <c r="D13" s="28">
        <f t="shared" si="0"/>
        <v>-6.2354600409046168E-2</v>
      </c>
      <c r="E13" s="28">
        <f t="shared" si="0"/>
        <v>3.3025347484322953E-2</v>
      </c>
      <c r="F13" s="28">
        <f t="shared" si="0"/>
        <v>5.219260616259036E-2</v>
      </c>
      <c r="G13" s="28">
        <f t="shared" si="0"/>
        <v>3.7190872525984631E-2</v>
      </c>
      <c r="H13" s="28">
        <f t="shared" si="0"/>
        <v>0.75179588213213955</v>
      </c>
      <c r="I13" s="28">
        <f t="shared" si="0"/>
        <v>1.0432288672042116</v>
      </c>
      <c r="J13" s="28">
        <f t="shared" si="0"/>
        <v>0.87748913818818486</v>
      </c>
      <c r="K13" s="28">
        <f t="shared" si="0"/>
        <v>1.0007808391630681</v>
      </c>
      <c r="L13" s="28">
        <f t="shared" si="0"/>
        <v>0.38293553791644941</v>
      </c>
      <c r="M13" s="28">
        <f t="shared" si="0"/>
        <v>0.12435123625111055</v>
      </c>
      <c r="N13" s="28">
        <f t="shared" ref="N13:P13" si="1">+N12/R12-1</f>
        <v>0.16363125996039973</v>
      </c>
      <c r="O13" s="28">
        <f t="shared" si="1"/>
        <v>0.21694527401776353</v>
      </c>
      <c r="P13" s="28">
        <f t="shared" si="1"/>
        <v>0.11513699930780663</v>
      </c>
      <c r="U13" s="1"/>
      <c r="V13" s="1"/>
      <c r="W13" s="1"/>
      <c r="X13" s="1"/>
      <c r="Y13" s="1"/>
      <c r="Z13" s="1"/>
      <c r="AA13" s="1"/>
      <c r="AB13" s="1"/>
    </row>
    <row r="14" spans="1:28"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1"/>
      <c r="R14" s="31"/>
      <c r="S14" s="31"/>
      <c r="T14" s="31"/>
    </row>
    <row r="16" spans="1:28" s="22" customFormat="1" x14ac:dyDescent="0.2">
      <c r="A16" s="30" t="s">
        <v>31</v>
      </c>
      <c r="B16" s="29">
        <v>73.589000000000013</v>
      </c>
      <c r="C16" s="29">
        <v>79.030000000000015</v>
      </c>
      <c r="D16" s="29">
        <v>101.21599999999982</v>
      </c>
      <c r="E16" s="29">
        <v>61.440000000000062</v>
      </c>
      <c r="F16" s="29">
        <v>67.996000000000009</v>
      </c>
      <c r="G16" s="29">
        <v>70.03400000000002</v>
      </c>
      <c r="H16" s="29">
        <v>54.277000000000442</v>
      </c>
      <c r="I16" s="29">
        <v>68.49199999999999</v>
      </c>
      <c r="J16" s="29">
        <v>67.353999999999999</v>
      </c>
      <c r="K16" s="29">
        <v>69.914999999999992</v>
      </c>
      <c r="L16" s="29">
        <f>L22-L21-L20-L19</f>
        <v>58.009000000000029</v>
      </c>
      <c r="M16" s="29">
        <v>44.025999999999968</v>
      </c>
      <c r="N16" s="29">
        <v>-87.092999999999989</v>
      </c>
      <c r="O16" s="29">
        <v>41.131999999999977</v>
      </c>
      <c r="P16" s="29">
        <v>42.517999999999887</v>
      </c>
      <c r="Q16" s="29">
        <v>37.00500000000001</v>
      </c>
      <c r="R16" s="29">
        <v>44.332999999999998</v>
      </c>
      <c r="S16" s="29">
        <v>39.787000000000006</v>
      </c>
      <c r="T16" s="29">
        <v>42.804999999999893</v>
      </c>
    </row>
    <row r="17" spans="1:28" s="28" customFormat="1" x14ac:dyDescent="0.2">
      <c r="A17" s="28" t="s">
        <v>30</v>
      </c>
      <c r="B17" s="28">
        <f t="shared" ref="B17:C17" si="2">+B16/B12</f>
        <v>8.8516726268017251E-2</v>
      </c>
      <c r="C17" s="28">
        <f t="shared" si="2"/>
        <v>9.2342781827763148E-2</v>
      </c>
      <c r="D17" s="28">
        <f t="shared" ref="D17:E17" si="3">+D16/D12</f>
        <v>0.12238166403079831</v>
      </c>
      <c r="E17" s="28">
        <f t="shared" si="3"/>
        <v>7.9320303493114419E-2</v>
      </c>
      <c r="F17" s="28">
        <f t="shared" ref="F17:G17" si="4">+F16/F12</f>
        <v>8.9280813868752126E-2</v>
      </c>
      <c r="G17" s="28">
        <f t="shared" si="4"/>
        <v>8.9632391242303378E-2</v>
      </c>
      <c r="H17" s="28">
        <f t="shared" ref="H17:M17" si="5">+H16/H12</f>
        <v>6.1534920843669572E-2</v>
      </c>
      <c r="I17" s="28">
        <f t="shared" si="5"/>
        <v>9.13448330128111E-2</v>
      </c>
      <c r="J17" s="28">
        <f t="shared" si="5"/>
        <v>9.3053650152869719E-2</v>
      </c>
      <c r="K17" s="28">
        <f t="shared" si="5"/>
        <v>9.2807932778463609E-2</v>
      </c>
      <c r="L17" s="28">
        <f t="shared" si="5"/>
        <v>0.11520854476448476</v>
      </c>
      <c r="M17" s="28">
        <f t="shared" si="5"/>
        <v>0.11996937137749769</v>
      </c>
      <c r="N17" s="28">
        <f t="shared" ref="N17:T17" si="6">+N16/N12</f>
        <v>-0.22590752869463718</v>
      </c>
      <c r="O17" s="28">
        <f t="shared" si="6"/>
        <v>0.10924311719492821</v>
      </c>
      <c r="P17" s="28">
        <f t="shared" si="6"/>
        <v>0.11677881842401572</v>
      </c>
      <c r="Q17" s="28">
        <f t="shared" si="6"/>
        <v>0.11337663531358194</v>
      </c>
      <c r="R17" s="28">
        <f t="shared" si="6"/>
        <v>0.13381042642584631</v>
      </c>
      <c r="S17" s="28">
        <f t="shared" si="6"/>
        <v>0.12859571552314833</v>
      </c>
      <c r="T17" s="28">
        <f t="shared" si="6"/>
        <v>0.1311034064527192</v>
      </c>
      <c r="U17" s="1"/>
      <c r="V17" s="1"/>
      <c r="W17" s="1"/>
      <c r="X17" s="1"/>
      <c r="Y17" s="1"/>
      <c r="Z17" s="1"/>
      <c r="AA17" s="1"/>
      <c r="AB17" s="1"/>
    </row>
    <row r="18" spans="1:28" s="23" customFormat="1" x14ac:dyDescent="0.2"/>
    <row r="19" spans="1:28"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row>
    <row r="20" spans="1:28"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row>
    <row r="21" spans="1:28" s="23" customFormat="1" x14ac:dyDescent="0.2">
      <c r="A21" s="15" t="s">
        <v>18</v>
      </c>
      <c r="B21" s="19">
        <v>5.3769999999999811</v>
      </c>
      <c r="C21" s="19">
        <v>6.0539999999999878</v>
      </c>
      <c r="D21" s="19">
        <v>57.582999999999977</v>
      </c>
      <c r="E21" s="19">
        <v>13.559999999999938</v>
      </c>
      <c r="F21" s="19">
        <v>11.421999999999997</v>
      </c>
      <c r="G21" s="19">
        <v>4.9589999999999748</v>
      </c>
      <c r="H21" s="19">
        <v>66.094999999999843</v>
      </c>
      <c r="I21" s="19">
        <v>5.5510000000000161</v>
      </c>
      <c r="J21" s="19">
        <v>5.1740000000000004</v>
      </c>
      <c r="K21" s="19">
        <v>2.2730000000000103</v>
      </c>
      <c r="L21" s="19">
        <v>0</v>
      </c>
      <c r="M21" s="19">
        <v>8.0660000000000309</v>
      </c>
      <c r="N21" s="19">
        <v>139.12199999999999</v>
      </c>
      <c r="O21" s="19">
        <v>5.5260000000000247</v>
      </c>
      <c r="P21" s="19">
        <v>6.4770000000001176</v>
      </c>
      <c r="Q21" s="19">
        <v>5.3449999999999918</v>
      </c>
      <c r="R21" s="19">
        <v>5.3640000000000043</v>
      </c>
      <c r="S21" s="19">
        <v>1.7449999999999903</v>
      </c>
      <c r="T21" s="19">
        <v>0</v>
      </c>
    </row>
    <row r="22" spans="1:28" s="22" customFormat="1" x14ac:dyDescent="0.2">
      <c r="A22" s="22" t="s">
        <v>23</v>
      </c>
      <c r="B22" s="20">
        <f t="shared" ref="B22:E22" si="7">SUM(B16,B19:B21)</f>
        <v>78.965999999999994</v>
      </c>
      <c r="C22" s="20">
        <f t="shared" si="7"/>
        <v>85.084000000000003</v>
      </c>
      <c r="D22" s="20">
        <f t="shared" si="7"/>
        <v>158.79899999999981</v>
      </c>
      <c r="E22" s="20">
        <f t="shared" si="7"/>
        <v>75</v>
      </c>
      <c r="F22" s="20">
        <f t="shared" ref="F22:K22" si="8">SUM(F16,F19:F21)</f>
        <v>79.418000000000006</v>
      </c>
      <c r="G22" s="20">
        <f t="shared" si="8"/>
        <v>74.992999999999995</v>
      </c>
      <c r="H22" s="20">
        <f t="shared" si="8"/>
        <v>120.37200000000028</v>
      </c>
      <c r="I22" s="20">
        <f t="shared" si="8"/>
        <v>74.043000000000006</v>
      </c>
      <c r="J22" s="20">
        <f t="shared" si="8"/>
        <v>72.528000000000006</v>
      </c>
      <c r="K22" s="20">
        <f t="shared" si="8"/>
        <v>72.188000000000002</v>
      </c>
      <c r="L22" s="20">
        <f>208.788-M22-N22-O22</f>
        <v>58.009000000000029</v>
      </c>
      <c r="M22" s="20">
        <f>SUM(M16,M19:M21)</f>
        <v>52.091999999999999</v>
      </c>
      <c r="N22" s="20">
        <f t="shared" ref="N22:T22" si="9">SUM(N16,N19:N21)</f>
        <v>52.028999999999996</v>
      </c>
      <c r="O22" s="20">
        <f t="shared" si="9"/>
        <v>46.658000000000001</v>
      </c>
      <c r="P22" s="20">
        <f t="shared" si="9"/>
        <v>48.995000000000005</v>
      </c>
      <c r="Q22" s="20">
        <f t="shared" si="9"/>
        <v>42.35</v>
      </c>
      <c r="R22" s="20">
        <f t="shared" si="9"/>
        <v>49.697000000000003</v>
      </c>
      <c r="S22" s="20">
        <f t="shared" si="9"/>
        <v>41.531999999999996</v>
      </c>
      <c r="T22" s="20">
        <f t="shared" si="9"/>
        <v>42.804999999999893</v>
      </c>
    </row>
    <row r="23" spans="1:28" s="22" customFormat="1" x14ac:dyDescent="0.2">
      <c r="B23" s="20"/>
      <c r="C23" s="20"/>
      <c r="D23" s="20"/>
      <c r="E23" s="20"/>
      <c r="F23" s="20"/>
      <c r="G23" s="20"/>
      <c r="H23" s="20"/>
      <c r="I23" s="20"/>
      <c r="J23" s="20"/>
      <c r="K23" s="20"/>
      <c r="L23" s="20"/>
      <c r="M23" s="20"/>
      <c r="N23" s="20"/>
      <c r="O23" s="20"/>
      <c r="P23" s="20"/>
      <c r="Q23" s="20"/>
      <c r="R23" s="20"/>
      <c r="S23" s="20"/>
      <c r="T23" s="20"/>
      <c r="U23" s="1"/>
      <c r="V23" s="1"/>
      <c r="W23" s="1"/>
      <c r="X23" s="1"/>
      <c r="Y23" s="1"/>
      <c r="Z23" s="1"/>
      <c r="AA23" s="1"/>
      <c r="AB23" s="1"/>
    </row>
    <row r="24" spans="1:28" s="22" customFormat="1" x14ac:dyDescent="0.2">
      <c r="A24" s="22" t="s">
        <v>27</v>
      </c>
      <c r="B24" s="20">
        <f t="shared" ref="B24:M24" si="10">SUM(B22:E22)</f>
        <v>397.84899999999982</v>
      </c>
      <c r="C24" s="20">
        <f t="shared" si="10"/>
        <v>398.30099999999982</v>
      </c>
      <c r="D24" s="20">
        <f t="shared" si="10"/>
        <v>388.20999999999981</v>
      </c>
      <c r="E24" s="20">
        <f t="shared" si="10"/>
        <v>349.7830000000003</v>
      </c>
      <c r="F24" s="20">
        <f t="shared" si="10"/>
        <v>348.82600000000031</v>
      </c>
      <c r="G24" s="20">
        <f t="shared" si="10"/>
        <v>341.93600000000032</v>
      </c>
      <c r="H24" s="20">
        <f t="shared" si="10"/>
        <v>339.13100000000031</v>
      </c>
      <c r="I24" s="20">
        <f t="shared" si="10"/>
        <v>276.76800000000003</v>
      </c>
      <c r="J24" s="20">
        <f t="shared" si="10"/>
        <v>254.81700000000001</v>
      </c>
      <c r="K24" s="20">
        <f t="shared" si="10"/>
        <v>234.31800000000004</v>
      </c>
      <c r="L24" s="20">
        <f t="shared" si="10"/>
        <v>208.78800000000001</v>
      </c>
      <c r="M24" s="20">
        <f t="shared" si="10"/>
        <v>199.774</v>
      </c>
      <c r="N24" s="20">
        <f t="shared" ref="N24:Q24" si="11">SUM(N22:Q22)</f>
        <v>190.03200000000001</v>
      </c>
      <c r="O24" s="20">
        <f t="shared" si="11"/>
        <v>187.70000000000002</v>
      </c>
      <c r="P24" s="20">
        <f t="shared" si="11"/>
        <v>182.57400000000001</v>
      </c>
      <c r="Q24" s="20">
        <f t="shared" si="11"/>
        <v>176.3839999999999</v>
      </c>
      <c r="R24" s="20"/>
      <c r="S24" s="20"/>
      <c r="T24" s="20"/>
    </row>
    <row r="25" spans="1:28" s="23" customFormat="1" x14ac:dyDescent="0.2">
      <c r="A25" s="15" t="s">
        <v>26</v>
      </c>
      <c r="B25" s="27">
        <f>388.575-B24</f>
        <v>-9.2739999999998304</v>
      </c>
      <c r="C25" s="27">
        <f>388.582-C24</f>
        <v>-9.7189999999998236</v>
      </c>
      <c r="D25" s="27">
        <f>388.21-D24</f>
        <v>0</v>
      </c>
      <c r="E25" s="27">
        <f>347-E24</f>
        <v>-2.7830000000002997</v>
      </c>
      <c r="F25" s="27">
        <f>346.45-F24</f>
        <v>-2.3760000000003174</v>
      </c>
      <c r="G25" s="27">
        <f>341.521-G24</f>
        <v>-0.41500000000030468</v>
      </c>
      <c r="H25" s="27">
        <v>0</v>
      </c>
      <c r="I25" s="27">
        <f>345.805-I26-I24</f>
        <v>69.036999999999978</v>
      </c>
      <c r="J25" s="27">
        <f>356.339-J26-J24</f>
        <v>60.841000000000008</v>
      </c>
      <c r="K25" s="27">
        <f>366.363-K26-K24</f>
        <v>63.159999999999968</v>
      </c>
      <c r="L25" s="27">
        <f>372.605-L26-L24</f>
        <v>76.389999999999986</v>
      </c>
      <c r="M25" s="27">
        <v>0</v>
      </c>
      <c r="N25" s="27">
        <v>0</v>
      </c>
      <c r="O25" s="27">
        <v>0</v>
      </c>
      <c r="P25" s="27">
        <v>0</v>
      </c>
      <c r="Q25" s="27">
        <v>0</v>
      </c>
      <c r="R25" s="27"/>
      <c r="S25" s="27"/>
      <c r="T25" s="27"/>
    </row>
    <row r="26" spans="1:28" s="23" customFormat="1" x14ac:dyDescent="0.2">
      <c r="A26" s="15" t="s">
        <v>25</v>
      </c>
      <c r="B26" s="21">
        <v>0</v>
      </c>
      <c r="C26" s="21">
        <v>0</v>
      </c>
      <c r="D26" s="21">
        <v>0</v>
      </c>
      <c r="E26" s="21">
        <v>0</v>
      </c>
      <c r="F26" s="21">
        <v>0</v>
      </c>
      <c r="G26" s="21">
        <v>0</v>
      </c>
      <c r="H26" s="21">
        <v>0</v>
      </c>
      <c r="I26" s="21">
        <v>0</v>
      </c>
      <c r="J26" s="21">
        <f>40.681</f>
        <v>40.680999999999997</v>
      </c>
      <c r="K26" s="21">
        <v>68.885000000000005</v>
      </c>
      <c r="L26" s="21">
        <v>87.427000000000007</v>
      </c>
      <c r="M26" s="21">
        <v>0</v>
      </c>
      <c r="N26" s="21">
        <v>0</v>
      </c>
      <c r="O26" s="21">
        <v>0</v>
      </c>
      <c r="P26" s="21">
        <v>0</v>
      </c>
      <c r="Q26" s="21">
        <v>0</v>
      </c>
      <c r="R26" s="26"/>
      <c r="S26" s="26"/>
      <c r="T26" s="26"/>
    </row>
    <row r="27" spans="1:28" s="24" customFormat="1" x14ac:dyDescent="0.2">
      <c r="A27" s="82" t="s">
        <v>24</v>
      </c>
      <c r="B27" s="20">
        <f t="shared" ref="B27:D27" si="12">SUM(B24:B26)</f>
        <v>388.57499999999999</v>
      </c>
      <c r="C27" s="20">
        <f t="shared" si="12"/>
        <v>388.58199999999999</v>
      </c>
      <c r="D27" s="20">
        <f t="shared" si="12"/>
        <v>388.20999999999981</v>
      </c>
      <c r="E27" s="20">
        <f t="shared" ref="E27:G27" si="13">SUM(E24:E26)</f>
        <v>347</v>
      </c>
      <c r="F27" s="20">
        <f t="shared" si="13"/>
        <v>346.45</v>
      </c>
      <c r="G27" s="20">
        <f t="shared" si="13"/>
        <v>341.52100000000002</v>
      </c>
      <c r="H27" s="20">
        <f t="shared" ref="H27:M27" si="14">SUM(H24:H26)</f>
        <v>339.13100000000031</v>
      </c>
      <c r="I27" s="20">
        <f t="shared" si="14"/>
        <v>345.80500000000001</v>
      </c>
      <c r="J27" s="20">
        <f t="shared" si="14"/>
        <v>356.339</v>
      </c>
      <c r="K27" s="20">
        <f t="shared" si="14"/>
        <v>366.363</v>
      </c>
      <c r="L27" s="20">
        <f t="shared" si="14"/>
        <v>372.60500000000002</v>
      </c>
      <c r="M27" s="20">
        <f t="shared" si="14"/>
        <v>199.774</v>
      </c>
      <c r="N27" s="20">
        <f t="shared" ref="N27:Q27" si="15">SUM(N24:N26)</f>
        <v>190.03200000000001</v>
      </c>
      <c r="O27" s="20">
        <f t="shared" si="15"/>
        <v>187.70000000000002</v>
      </c>
      <c r="P27" s="20">
        <f t="shared" si="15"/>
        <v>182.57400000000001</v>
      </c>
      <c r="Q27" s="20">
        <f t="shared" si="15"/>
        <v>176.3839999999999</v>
      </c>
      <c r="R27" s="25"/>
      <c r="S27" s="25"/>
      <c r="T27" s="25"/>
    </row>
    <row r="28" spans="1:28" s="23" customFormat="1" x14ac:dyDescent="0.2">
      <c r="J28" s="113"/>
      <c r="K28" s="113"/>
      <c r="L28" s="113"/>
    </row>
    <row r="29" spans="1:28" s="22" customFormat="1" x14ac:dyDescent="0.2">
      <c r="A29" s="22" t="s">
        <v>23</v>
      </c>
      <c r="B29" s="20">
        <f t="shared" ref="B29:D29" si="16">B22</f>
        <v>78.965999999999994</v>
      </c>
      <c r="C29" s="20">
        <f t="shared" si="16"/>
        <v>85.084000000000003</v>
      </c>
      <c r="D29" s="20">
        <f t="shared" si="16"/>
        <v>158.79899999999981</v>
      </c>
      <c r="E29" s="20">
        <f t="shared" ref="E29:G29" si="17">E22</f>
        <v>75</v>
      </c>
      <c r="F29" s="20">
        <f t="shared" si="17"/>
        <v>79.418000000000006</v>
      </c>
      <c r="G29" s="20">
        <f t="shared" si="17"/>
        <v>74.992999999999995</v>
      </c>
      <c r="H29" s="20">
        <f t="shared" ref="H29:T29" si="18">H22</f>
        <v>120.37200000000028</v>
      </c>
      <c r="I29" s="20">
        <f t="shared" si="18"/>
        <v>74.043000000000006</v>
      </c>
      <c r="J29" s="20">
        <f t="shared" si="18"/>
        <v>72.528000000000006</v>
      </c>
      <c r="K29" s="20">
        <f t="shared" si="18"/>
        <v>72.188000000000002</v>
      </c>
      <c r="L29" s="20">
        <f t="shared" si="18"/>
        <v>58.009000000000029</v>
      </c>
      <c r="M29" s="20">
        <f t="shared" si="18"/>
        <v>52.091999999999999</v>
      </c>
      <c r="N29" s="20">
        <f t="shared" si="18"/>
        <v>52.028999999999996</v>
      </c>
      <c r="O29" s="20">
        <f t="shared" si="18"/>
        <v>46.658000000000001</v>
      </c>
      <c r="P29" s="20">
        <f t="shared" si="18"/>
        <v>48.995000000000005</v>
      </c>
      <c r="Q29" s="20">
        <f t="shared" si="18"/>
        <v>42.35</v>
      </c>
      <c r="R29" s="20">
        <f t="shared" si="18"/>
        <v>49.697000000000003</v>
      </c>
      <c r="S29" s="20">
        <f t="shared" si="18"/>
        <v>41.531999999999996</v>
      </c>
      <c r="T29" s="20">
        <f t="shared" si="18"/>
        <v>42.804999999999893</v>
      </c>
    </row>
    <row r="30" spans="1:28" s="11" customFormat="1" x14ac:dyDescent="0.2">
      <c r="A30" s="19" t="s">
        <v>22</v>
      </c>
      <c r="B30" s="19">
        <v>-40.948</v>
      </c>
      <c r="C30" s="19">
        <v>-41.137</v>
      </c>
      <c r="D30" s="19">
        <v>-40.894000000000005</v>
      </c>
      <c r="E30" s="19">
        <v>-41.329000000000001</v>
      </c>
      <c r="F30" s="19">
        <v>-42.697000000000003</v>
      </c>
      <c r="G30" s="19">
        <v>-42.819000000000003</v>
      </c>
      <c r="H30" s="19">
        <v>-42.850000000000023</v>
      </c>
      <c r="I30" s="19">
        <v>-44.286000000000001</v>
      </c>
      <c r="J30" s="19">
        <v>-43.55</v>
      </c>
      <c r="K30" s="19">
        <v>-43.595999999999997</v>
      </c>
      <c r="L30" s="19">
        <v>-36.821999999999996</v>
      </c>
      <c r="M30" s="19">
        <v>-24.545000000000002</v>
      </c>
      <c r="N30" s="19">
        <v>-18.57</v>
      </c>
      <c r="O30" s="19">
        <v>-14.384</v>
      </c>
      <c r="P30" s="19">
        <v>-13.801000000000002</v>
      </c>
      <c r="Q30" s="19">
        <v>-12.449</v>
      </c>
      <c r="R30" s="19">
        <v>-12.61</v>
      </c>
      <c r="S30" s="19">
        <v>-12.676</v>
      </c>
      <c r="T30" s="19">
        <v>-13.403000000000006</v>
      </c>
    </row>
    <row r="31" spans="1:28" s="11" customFormat="1" x14ac:dyDescent="0.2">
      <c r="A31" s="19" t="s">
        <v>21</v>
      </c>
      <c r="B31" s="19">
        <v>-0.95299999999999996</v>
      </c>
      <c r="C31" s="19">
        <v>0.20599999999999999</v>
      </c>
      <c r="D31" s="19">
        <v>18.711000000000002</v>
      </c>
      <c r="E31" s="19">
        <v>0.52300000000000002</v>
      </c>
      <c r="F31" s="19">
        <v>0.17100000000000001</v>
      </c>
      <c r="G31" s="19">
        <v>0.39800000000000002</v>
      </c>
      <c r="H31" s="19">
        <v>7.0279999999999996</v>
      </c>
      <c r="I31" s="19">
        <v>3.855</v>
      </c>
      <c r="J31" s="19">
        <v>-2.1280000000000001</v>
      </c>
      <c r="K31" s="19">
        <v>1.6759999999999999</v>
      </c>
      <c r="L31" s="19">
        <v>2.1020000000000003</v>
      </c>
      <c r="M31" s="19">
        <v>0.28399999999999997</v>
      </c>
      <c r="N31" s="19">
        <v>5.1579999999999995</v>
      </c>
      <c r="O31" s="19">
        <v>-0.83699999999999997</v>
      </c>
      <c r="P31" s="19">
        <v>-1.304</v>
      </c>
      <c r="Q31" s="19">
        <v>-0.36899999999999999</v>
      </c>
      <c r="R31" s="19">
        <v>-0.379</v>
      </c>
      <c r="S31" s="19">
        <v>-0.29799999999999999</v>
      </c>
      <c r="T31" s="19">
        <v>-5.76</v>
      </c>
    </row>
    <row r="32" spans="1:28" s="11" customFormat="1" x14ac:dyDescent="0.2">
      <c r="A32" s="19" t="s">
        <v>20</v>
      </c>
      <c r="B32" s="19">
        <v>36.598000000000006</v>
      </c>
      <c r="C32" s="19">
        <v>-82.843999999999994</v>
      </c>
      <c r="D32" s="19">
        <v>-29.01</v>
      </c>
      <c r="E32" s="19">
        <v>-2.5729999999999968</v>
      </c>
      <c r="F32" s="19">
        <v>6.8019999999999996</v>
      </c>
      <c r="G32" s="19">
        <v>23.895</v>
      </c>
      <c r="H32" s="19">
        <v>27.975000000000009</v>
      </c>
      <c r="I32" s="19">
        <v>-21.755000000000003</v>
      </c>
      <c r="J32" s="19">
        <v>17.331</v>
      </c>
      <c r="K32" s="19">
        <v>-23.056000000000001</v>
      </c>
      <c r="L32" s="19">
        <v>6.3119999999999834</v>
      </c>
      <c r="M32" s="19">
        <v>12.83700000000001</v>
      </c>
      <c r="N32" s="19">
        <v>129.21199999999999</v>
      </c>
      <c r="O32" s="19">
        <v>-20.386000000000003</v>
      </c>
      <c r="P32" s="19">
        <v>-0.35899999999999643</v>
      </c>
      <c r="Q32" s="19">
        <v>12.315</v>
      </c>
      <c r="R32" s="19">
        <v>1.3420000000000005</v>
      </c>
      <c r="S32" s="19">
        <v>9.5060000000000002</v>
      </c>
      <c r="T32" s="19">
        <v>-11.826000000000002</v>
      </c>
    </row>
    <row r="33" spans="1:20" s="11" customFormat="1" x14ac:dyDescent="0.2">
      <c r="A33" s="19" t="s">
        <v>19</v>
      </c>
      <c r="B33" s="19">
        <f t="shared" ref="B33:C33" si="19">-B19-B20-B21</f>
        <v>-5.3769999999999811</v>
      </c>
      <c r="C33" s="19">
        <f t="shared" si="19"/>
        <v>-6.0539999999999878</v>
      </c>
      <c r="D33" s="19">
        <f t="shared" ref="D33:H33" si="20">-D19-D20-D21</f>
        <v>-57.582999999999977</v>
      </c>
      <c r="E33" s="19">
        <f t="shared" si="20"/>
        <v>-13.559999999999938</v>
      </c>
      <c r="F33" s="19">
        <f t="shared" si="20"/>
        <v>-11.421999999999997</v>
      </c>
      <c r="G33" s="19">
        <f t="shared" si="20"/>
        <v>-4.9589999999999748</v>
      </c>
      <c r="H33" s="19">
        <f t="shared" si="20"/>
        <v>-66.094999999999843</v>
      </c>
      <c r="I33" s="19">
        <f t="shared" ref="I33:O33" si="21">-I19-I20-I21</f>
        <v>-5.5510000000000161</v>
      </c>
      <c r="J33" s="19">
        <f t="shared" si="21"/>
        <v>-5.1740000000000004</v>
      </c>
      <c r="K33" s="19">
        <f t="shared" si="21"/>
        <v>-2.2730000000000103</v>
      </c>
      <c r="L33" s="19">
        <f t="shared" si="21"/>
        <v>0</v>
      </c>
      <c r="M33" s="19">
        <f t="shared" si="21"/>
        <v>-8.0660000000000309</v>
      </c>
      <c r="N33" s="19">
        <f t="shared" si="21"/>
        <v>-139.12199999999999</v>
      </c>
      <c r="O33" s="19">
        <f t="shared" si="21"/>
        <v>-5.5260000000000247</v>
      </c>
      <c r="P33" s="19">
        <f t="shared" ref="P33:T33" si="22">-P19-P20-P21</f>
        <v>-6.4770000000001176</v>
      </c>
      <c r="Q33" s="19">
        <f t="shared" si="22"/>
        <v>-5.3449999999999918</v>
      </c>
      <c r="R33" s="19">
        <f t="shared" si="22"/>
        <v>-5.3640000000000043</v>
      </c>
      <c r="S33" s="19">
        <f t="shared" si="22"/>
        <v>-1.7449999999999903</v>
      </c>
      <c r="T33" s="19">
        <f t="shared" si="22"/>
        <v>0</v>
      </c>
    </row>
    <row r="34" spans="1:20" s="11" customFormat="1" x14ac:dyDescent="0.2">
      <c r="A34" s="19" t="s">
        <v>18</v>
      </c>
      <c r="B34" s="21">
        <f t="shared" ref="B34" si="23">B35-B29-B30-B31-B32-B33</f>
        <v>3.2449999999999903</v>
      </c>
      <c r="C34" s="21">
        <f t="shared" ref="C34:D34" si="24">C35-C29-C30-C31-C32-C33</f>
        <v>2.4489999999999839</v>
      </c>
      <c r="D34" s="21">
        <f t="shared" si="24"/>
        <v>-35.971999999999831</v>
      </c>
      <c r="E34" s="21">
        <f t="shared" ref="E34:H34" si="25">E35-E29-E30-E31-E32-E33</f>
        <v>5.810999999999936</v>
      </c>
      <c r="F34" s="21">
        <f t="shared" si="25"/>
        <v>1.5999999999999872</v>
      </c>
      <c r="G34" s="21">
        <f t="shared" si="25"/>
        <v>1.826999999999984</v>
      </c>
      <c r="H34" s="21">
        <f t="shared" si="25"/>
        <v>2.3019999999995875</v>
      </c>
      <c r="I34" s="21">
        <f t="shared" ref="I34:O34" si="26">I35-I29-I30-I31-I32-I33</f>
        <v>-0.62899999999999423</v>
      </c>
      <c r="J34" s="21">
        <f t="shared" si="26"/>
        <v>-1.1220000000000097</v>
      </c>
      <c r="K34" s="21">
        <f t="shared" si="26"/>
        <v>-1.695999999999998</v>
      </c>
      <c r="L34" s="21">
        <f t="shared" si="26"/>
        <v>-27.937000000000015</v>
      </c>
      <c r="M34" s="21">
        <f t="shared" si="26"/>
        <v>0.85000000000002185</v>
      </c>
      <c r="N34" s="21">
        <f t="shared" si="26"/>
        <v>-13.632000000000005</v>
      </c>
      <c r="O34" s="21">
        <f t="shared" si="26"/>
        <v>3.2640000000000278</v>
      </c>
      <c r="P34" s="21">
        <f t="shared" ref="P34:T34" si="27">P35-P29-P30-P31-P32-P33</f>
        <v>0.16400000000012938</v>
      </c>
      <c r="Q34" s="21">
        <f t="shared" si="27"/>
        <v>4.3139999999999858</v>
      </c>
      <c r="R34" s="21">
        <f>R35-R29-R30-R31-R32-R33</f>
        <v>5.2420000000000044</v>
      </c>
      <c r="S34" s="21">
        <f t="shared" si="27"/>
        <v>1.4049999999999905</v>
      </c>
      <c r="T34" s="21">
        <f t="shared" si="27"/>
        <v>0.39800000000011337</v>
      </c>
    </row>
    <row r="35" spans="1:20" s="20" customFormat="1" x14ac:dyDescent="0.2">
      <c r="A35" s="20" t="s">
        <v>17</v>
      </c>
      <c r="B35" s="20">
        <v>71.531000000000006</v>
      </c>
      <c r="C35" s="20">
        <v>-42.295999999999999</v>
      </c>
      <c r="D35" s="20">
        <v>14.051000000000002</v>
      </c>
      <c r="E35" s="20">
        <v>23.872</v>
      </c>
      <c r="F35" s="20">
        <v>33.871999999999993</v>
      </c>
      <c r="G35" s="20">
        <v>53.335000000000001</v>
      </c>
      <c r="H35" s="20">
        <v>48.732000000000006</v>
      </c>
      <c r="I35" s="20">
        <v>5.6769999999999996</v>
      </c>
      <c r="J35" s="20">
        <v>37.884999999999998</v>
      </c>
      <c r="K35" s="20">
        <v>3.2429999999999999</v>
      </c>
      <c r="L35" s="20">
        <v>1.6640000000000015</v>
      </c>
      <c r="M35" s="20">
        <v>33.451999999999998</v>
      </c>
      <c r="N35" s="20">
        <v>15.075000000000001</v>
      </c>
      <c r="O35" s="20">
        <v>8.7889999999999997</v>
      </c>
      <c r="P35" s="20">
        <v>27.218000000000018</v>
      </c>
      <c r="Q35" s="20">
        <v>40.815999999999995</v>
      </c>
      <c r="R35" s="20">
        <v>37.928000000000004</v>
      </c>
      <c r="S35" s="20">
        <v>37.723999999999997</v>
      </c>
      <c r="T35" s="20">
        <v>12.213999999999999</v>
      </c>
    </row>
    <row r="36" spans="1:20" s="11" customFormat="1" x14ac:dyDescent="0.2">
      <c r="A36" s="19" t="s">
        <v>16</v>
      </c>
      <c r="B36" s="21">
        <v>-24.450000000000003</v>
      </c>
      <c r="C36" s="21">
        <v>-13.802</v>
      </c>
      <c r="D36" s="21">
        <v>-50.189999999999984</v>
      </c>
      <c r="E36" s="21">
        <v>-39.561999999999998</v>
      </c>
      <c r="F36" s="21">
        <v>-49.209000000000003</v>
      </c>
      <c r="G36" s="21">
        <v>-36.81</v>
      </c>
      <c r="H36" s="21">
        <v>-41.670999999999999</v>
      </c>
      <c r="I36" s="21">
        <v>-14.729999999999997</v>
      </c>
      <c r="J36" s="21">
        <v>-30.728000000000002</v>
      </c>
      <c r="K36" s="21">
        <v>-9.6120000000000001</v>
      </c>
      <c r="L36" s="21">
        <v>-26.769000000000005</v>
      </c>
      <c r="M36" s="21">
        <v>-13.769999999999996</v>
      </c>
      <c r="N36" s="21">
        <v>-21.113999999999997</v>
      </c>
      <c r="O36" s="21">
        <v>-22.46</v>
      </c>
      <c r="P36" s="21">
        <v>-23.777000000000001</v>
      </c>
      <c r="Q36" s="21">
        <v>-10.635</v>
      </c>
      <c r="R36" s="21">
        <v>-11.978</v>
      </c>
      <c r="S36" s="21">
        <v>-10.965999999999999</v>
      </c>
      <c r="T36" s="21">
        <v>-10.629000000000001</v>
      </c>
    </row>
    <row r="37" spans="1:20" s="20" customFormat="1" x14ac:dyDescent="0.2">
      <c r="A37" s="20" t="s">
        <v>15</v>
      </c>
      <c r="B37" s="20">
        <f t="shared" ref="B37:K37" si="28">+B35+B36</f>
        <v>47.081000000000003</v>
      </c>
      <c r="C37" s="20">
        <f t="shared" si="28"/>
        <v>-56.097999999999999</v>
      </c>
      <c r="D37" s="20">
        <f t="shared" si="28"/>
        <v>-36.138999999999982</v>
      </c>
      <c r="E37" s="20">
        <f t="shared" si="28"/>
        <v>-15.689999999999998</v>
      </c>
      <c r="F37" s="20">
        <f t="shared" si="28"/>
        <v>-15.33700000000001</v>
      </c>
      <c r="G37" s="20">
        <f t="shared" si="28"/>
        <v>16.524999999999999</v>
      </c>
      <c r="H37" s="20">
        <f t="shared" si="28"/>
        <v>7.061000000000007</v>
      </c>
      <c r="I37" s="20">
        <f t="shared" si="28"/>
        <v>-9.0529999999999973</v>
      </c>
      <c r="J37" s="20">
        <f t="shared" si="28"/>
        <v>7.1569999999999965</v>
      </c>
      <c r="K37" s="20">
        <f t="shared" si="28"/>
        <v>-6.3689999999999998</v>
      </c>
      <c r="L37" s="20">
        <f t="shared" ref="L37:T37" si="29">+L35+L36</f>
        <v>-25.105000000000004</v>
      </c>
      <c r="M37" s="20">
        <f t="shared" si="29"/>
        <v>19.682000000000002</v>
      </c>
      <c r="N37" s="20">
        <f t="shared" si="29"/>
        <v>-6.0389999999999961</v>
      </c>
      <c r="O37" s="20">
        <f t="shared" si="29"/>
        <v>-13.671000000000001</v>
      </c>
      <c r="P37" s="20">
        <f t="shared" si="29"/>
        <v>3.4410000000000167</v>
      </c>
      <c r="Q37" s="20">
        <f t="shared" si="29"/>
        <v>30.180999999999997</v>
      </c>
      <c r="R37" s="20">
        <f t="shared" si="29"/>
        <v>25.950000000000003</v>
      </c>
      <c r="S37" s="20">
        <f t="shared" si="29"/>
        <v>26.757999999999996</v>
      </c>
      <c r="T37" s="20">
        <f t="shared" si="29"/>
        <v>1.5849999999999973</v>
      </c>
    </row>
    <row r="39" spans="1:20" s="16" customFormat="1" x14ac:dyDescent="0.2">
      <c r="A39" s="18" t="s">
        <v>14</v>
      </c>
      <c r="B39" s="19">
        <v>0</v>
      </c>
      <c r="C39" s="19">
        <v>25</v>
      </c>
      <c r="D39" s="19">
        <v>0</v>
      </c>
      <c r="E39" s="19">
        <v>0</v>
      </c>
      <c r="F39" s="19">
        <v>0</v>
      </c>
      <c r="G39" s="19">
        <v>187</v>
      </c>
      <c r="H39" s="19">
        <v>187</v>
      </c>
      <c r="I39" s="19">
        <v>37</v>
      </c>
      <c r="J39" s="19">
        <v>22</v>
      </c>
      <c r="K39" s="19">
        <v>27</v>
      </c>
      <c r="L39" s="19">
        <v>15</v>
      </c>
      <c r="M39" s="19">
        <v>0</v>
      </c>
      <c r="N39" s="19"/>
      <c r="O39" s="19"/>
      <c r="P39" s="19"/>
      <c r="Q39" s="19"/>
      <c r="R39" s="19"/>
      <c r="S39" s="19"/>
      <c r="T39" s="19"/>
    </row>
    <row r="40" spans="1:20" s="16" customFormat="1" x14ac:dyDescent="0.2">
      <c r="A40" s="18" t="s">
        <v>13</v>
      </c>
      <c r="B40" s="19">
        <v>1716.175</v>
      </c>
      <c r="C40" s="19">
        <v>1720.575</v>
      </c>
      <c r="D40" s="19">
        <v>1724.9749999999999</v>
      </c>
      <c r="E40" s="19">
        <v>1729.375</v>
      </c>
      <c r="F40" s="19">
        <v>1733.5250000000001</v>
      </c>
      <c r="G40" s="19">
        <v>1637.675</v>
      </c>
      <c r="H40" s="19">
        <v>1637.674</v>
      </c>
      <c r="I40" s="19">
        <v>1645.9749999999999</v>
      </c>
      <c r="J40" s="19">
        <v>1645.9749999999999</v>
      </c>
      <c r="K40" s="19">
        <v>1650.1189999999999</v>
      </c>
      <c r="L40" s="19">
        <v>1657.1369999999999</v>
      </c>
      <c r="M40" s="19">
        <f>1142+565</f>
        <v>1707</v>
      </c>
      <c r="N40" s="19"/>
      <c r="O40" s="19"/>
      <c r="P40" s="19"/>
      <c r="Q40" s="19"/>
      <c r="R40" s="19"/>
      <c r="S40" s="19"/>
      <c r="T40" s="19"/>
    </row>
    <row r="41" spans="1:20" s="16" customFormat="1" x14ac:dyDescent="0.2">
      <c r="A41" s="18" t="s">
        <v>12</v>
      </c>
      <c r="B41" s="19">
        <f t="shared" ref="B41:L41" si="30">B39+B40+350+300</f>
        <v>2366.1750000000002</v>
      </c>
      <c r="C41" s="19">
        <f t="shared" si="30"/>
        <v>2395.5749999999998</v>
      </c>
      <c r="D41" s="19">
        <f t="shared" si="30"/>
        <v>2374.9749999999999</v>
      </c>
      <c r="E41" s="19">
        <f t="shared" si="30"/>
        <v>2379.375</v>
      </c>
      <c r="F41" s="19">
        <f t="shared" si="30"/>
        <v>2383.5250000000001</v>
      </c>
      <c r="G41" s="19">
        <f t="shared" si="30"/>
        <v>2474.6750000000002</v>
      </c>
      <c r="H41" s="19">
        <f t="shared" si="30"/>
        <v>2474.674</v>
      </c>
      <c r="I41" s="19">
        <f t="shared" si="30"/>
        <v>2332.9749999999999</v>
      </c>
      <c r="J41" s="19">
        <f t="shared" si="30"/>
        <v>2317.9749999999999</v>
      </c>
      <c r="K41" s="19">
        <f t="shared" si="30"/>
        <v>2327.1189999999997</v>
      </c>
      <c r="L41" s="19">
        <f t="shared" si="30"/>
        <v>2322.1369999999997</v>
      </c>
      <c r="M41" s="19">
        <f>M39+M40+250+350</f>
        <v>2307</v>
      </c>
      <c r="N41" s="19"/>
      <c r="O41" s="19"/>
      <c r="P41" s="19"/>
      <c r="Q41" s="19"/>
      <c r="R41" s="19"/>
      <c r="S41" s="19"/>
      <c r="T41" s="19"/>
    </row>
    <row r="42" spans="1:20" s="16" customFormat="1" x14ac:dyDescent="0.2">
      <c r="A42" s="18" t="s">
        <v>11</v>
      </c>
      <c r="B42" s="17">
        <v>1248</v>
      </c>
      <c r="C42" s="17">
        <v>1248</v>
      </c>
      <c r="D42" s="17">
        <v>1248</v>
      </c>
      <c r="E42" s="17">
        <v>1248</v>
      </c>
      <c r="F42" s="17">
        <v>1248</v>
      </c>
      <c r="G42" s="17">
        <v>1248</v>
      </c>
      <c r="H42" s="17">
        <v>1248</v>
      </c>
      <c r="I42" s="17">
        <v>1248</v>
      </c>
      <c r="J42" s="17">
        <v>1248</v>
      </c>
      <c r="K42" s="17">
        <v>1248</v>
      </c>
      <c r="L42" s="17">
        <v>1248</v>
      </c>
      <c r="M42" s="17">
        <v>1248</v>
      </c>
      <c r="N42" s="17"/>
      <c r="O42" s="17"/>
      <c r="P42" s="17"/>
      <c r="Q42" s="17"/>
      <c r="R42" s="17"/>
      <c r="S42" s="17"/>
      <c r="T42" s="17"/>
    </row>
    <row r="43" spans="1:20" x14ac:dyDescent="0.2">
      <c r="B43" s="11"/>
      <c r="C43" s="11"/>
      <c r="D43" s="11"/>
      <c r="E43" s="11"/>
      <c r="F43" s="11"/>
      <c r="G43" s="11"/>
      <c r="H43" s="11"/>
      <c r="I43" s="11"/>
      <c r="J43" s="11"/>
      <c r="K43" s="16"/>
      <c r="L43" s="16"/>
      <c r="M43" s="16"/>
      <c r="N43" s="16"/>
      <c r="O43" s="16"/>
    </row>
    <row r="44" spans="1:20" x14ac:dyDescent="0.2">
      <c r="A44" s="15" t="s">
        <v>10</v>
      </c>
      <c r="B44" s="27">
        <v>53.715000000000003</v>
      </c>
      <c r="C44" s="27">
        <v>35.887</v>
      </c>
      <c r="D44" s="27">
        <v>71.858999999999995</v>
      </c>
      <c r="E44" s="27">
        <v>61.457000000000001</v>
      </c>
      <c r="F44" s="27">
        <v>78.616</v>
      </c>
      <c r="G44" s="27">
        <v>186.98099999999999</v>
      </c>
      <c r="H44" s="27">
        <v>12.968999999999999</v>
      </c>
      <c r="I44" s="27">
        <v>24.097000000000001</v>
      </c>
      <c r="J44" s="27">
        <v>21.259</v>
      </c>
      <c r="K44" s="27">
        <v>23.225999999999999</v>
      </c>
      <c r="L44" s="27">
        <v>24.655000000000001</v>
      </c>
      <c r="M44" s="27">
        <v>10</v>
      </c>
      <c r="N44" s="27"/>
      <c r="O44" s="27"/>
      <c r="P44" s="27"/>
      <c r="Q44" s="27"/>
      <c r="R44" s="27"/>
      <c r="S44" s="14"/>
      <c r="T44" s="14"/>
    </row>
    <row r="45" spans="1:20" x14ac:dyDescent="0.2">
      <c r="L45" s="11"/>
    </row>
    <row r="46" spans="1:20" x14ac:dyDescent="0.2">
      <c r="A46" s="1" t="s">
        <v>9</v>
      </c>
      <c r="B46" s="13">
        <f t="shared" ref="B46:H46" si="31">SUM(B12:E12)</f>
        <v>3288.8230000000003</v>
      </c>
      <c r="C46" s="13">
        <f t="shared" si="31"/>
        <v>3219.0630000000001</v>
      </c>
      <c r="D46" s="13">
        <f t="shared" si="31"/>
        <v>3144.5770000000002</v>
      </c>
      <c r="E46" s="13">
        <f t="shared" si="31"/>
        <v>3199.5769999999998</v>
      </c>
      <c r="F46" s="13">
        <f t="shared" si="31"/>
        <v>3174.8140000000003</v>
      </c>
      <c r="G46" s="13">
        <f t="shared" si="31"/>
        <v>3137.0360000000001</v>
      </c>
      <c r="H46" s="13">
        <f t="shared" si="31"/>
        <v>3109.0190000000002</v>
      </c>
      <c r="I46" s="12">
        <v>2954</v>
      </c>
      <c r="J46" s="13">
        <f>SUM(J12:K12)/2*4</f>
        <v>2954.2979999999998</v>
      </c>
      <c r="K46" s="13">
        <f>K12*4</f>
        <v>3013.32</v>
      </c>
      <c r="L46" s="13">
        <f>SUM(L12:O12)+M46-SUM(M12:P12)</f>
        <v>3076.4229999999993</v>
      </c>
      <c r="M46" s="12">
        <v>2937</v>
      </c>
      <c r="N46" s="11"/>
      <c r="O46" s="11"/>
      <c r="P46" s="11"/>
      <c r="Q46" s="11"/>
    </row>
    <row r="47" spans="1:20" x14ac:dyDescent="0.2">
      <c r="A47" s="1" t="s">
        <v>8</v>
      </c>
      <c r="B47" s="13">
        <f t="shared" ref="B47" si="32">B27</f>
        <v>388.57499999999999</v>
      </c>
      <c r="C47" s="13">
        <f t="shared" ref="C47:D47" si="33">C27</f>
        <v>388.58199999999999</v>
      </c>
      <c r="D47" s="13">
        <f t="shared" si="33"/>
        <v>388.20999999999981</v>
      </c>
      <c r="E47" s="13">
        <f t="shared" ref="E47:F47" si="34">E27</f>
        <v>347</v>
      </c>
      <c r="F47" s="13">
        <f t="shared" si="34"/>
        <v>346.45</v>
      </c>
      <c r="G47" s="13">
        <f t="shared" ref="G47:L47" si="35">G27</f>
        <v>341.52100000000002</v>
      </c>
      <c r="H47" s="13">
        <f t="shared" si="35"/>
        <v>339.13100000000031</v>
      </c>
      <c r="I47" s="13">
        <f t="shared" si="35"/>
        <v>345.80500000000001</v>
      </c>
      <c r="J47" s="13">
        <f t="shared" si="35"/>
        <v>356.339</v>
      </c>
      <c r="K47" s="13">
        <f t="shared" si="35"/>
        <v>366.363</v>
      </c>
      <c r="L47" s="13">
        <f t="shared" si="35"/>
        <v>372.60500000000002</v>
      </c>
      <c r="M47" s="12">
        <v>363</v>
      </c>
      <c r="N47" s="11"/>
      <c r="O47" s="11"/>
      <c r="P47" s="11"/>
      <c r="Q47" s="11"/>
    </row>
    <row r="48" spans="1:20" x14ac:dyDescent="0.2">
      <c r="A48" s="1" t="s">
        <v>7</v>
      </c>
      <c r="B48" s="13">
        <f t="shared" ref="B48:K48" si="36">C48+B37-F37</f>
        <v>-60.845999999999968</v>
      </c>
      <c r="C48" s="13">
        <f t="shared" si="36"/>
        <v>-123.26399999999998</v>
      </c>
      <c r="D48" s="13">
        <f t="shared" si="36"/>
        <v>-50.640999999999991</v>
      </c>
      <c r="E48" s="13">
        <f t="shared" si="36"/>
        <v>-7.4410000000000025</v>
      </c>
      <c r="F48" s="13">
        <f t="shared" si="36"/>
        <v>-0.80400000000000205</v>
      </c>
      <c r="G48" s="13">
        <f t="shared" si="36"/>
        <v>21.690000000000005</v>
      </c>
      <c r="H48" s="13">
        <f t="shared" si="36"/>
        <v>-1.2039999999999935</v>
      </c>
      <c r="I48" s="13">
        <f t="shared" si="36"/>
        <v>-33.370000000000005</v>
      </c>
      <c r="J48" s="13">
        <f t="shared" si="36"/>
        <v>-4.6350000000000033</v>
      </c>
      <c r="K48" s="13">
        <f t="shared" si="36"/>
        <v>-17.830999999999996</v>
      </c>
      <c r="L48" s="12">
        <f>40.052+18.928-47.756-36.357</f>
        <v>-25.132999999999996</v>
      </c>
      <c r="M48" s="12">
        <v>77.202988645202822</v>
      </c>
      <c r="N48" s="11"/>
      <c r="O48" s="11"/>
      <c r="P48" s="11"/>
      <c r="Q48" s="11"/>
    </row>
    <row r="50" spans="1:20" s="10" customFormat="1" x14ac:dyDescent="0.2">
      <c r="A50" s="10" t="s">
        <v>6</v>
      </c>
      <c r="B50" s="10">
        <f t="shared" ref="B50:C50" si="37">+SUM(B39:B40)/B47</f>
        <v>4.4165862446117226</v>
      </c>
      <c r="C50" s="10">
        <f t="shared" si="37"/>
        <v>4.4921663895908717</v>
      </c>
      <c r="D50" s="10">
        <f t="shared" ref="D50:E50" si="38">+SUM(D39:D40)/D47</f>
        <v>4.4434069189356293</v>
      </c>
      <c r="E50" s="10">
        <f t="shared" si="38"/>
        <v>4.983789625360231</v>
      </c>
      <c r="F50" s="10">
        <f t="shared" ref="F50:G50" si="39">+SUM(F39:F40)/F47</f>
        <v>5.0036801847308414</v>
      </c>
      <c r="G50" s="10">
        <f t="shared" si="39"/>
        <v>5.3427900480497534</v>
      </c>
      <c r="H50" s="10">
        <f t="shared" ref="H50:M50" si="40">+SUM(H39:H40)/H47</f>
        <v>5.380440006958958</v>
      </c>
      <c r="I50" s="10">
        <f t="shared" si="40"/>
        <v>4.8668324633825417</v>
      </c>
      <c r="J50" s="10">
        <f t="shared" si="40"/>
        <v>4.6808656925006806</v>
      </c>
      <c r="K50" s="10">
        <f t="shared" si="40"/>
        <v>4.5777521201649725</v>
      </c>
      <c r="L50" s="10">
        <f t="shared" si="40"/>
        <v>4.487693401859878</v>
      </c>
      <c r="M50" s="10">
        <f t="shared" si="40"/>
        <v>4.7024793388429753</v>
      </c>
    </row>
    <row r="51" spans="1:20" s="10" customFormat="1" x14ac:dyDescent="0.2">
      <c r="A51" s="10" t="s">
        <v>5</v>
      </c>
      <c r="B51" s="10">
        <f t="shared" ref="B51:C51" si="41">+B41/B47</f>
        <v>6.08936498745416</v>
      </c>
      <c r="C51" s="10">
        <f t="shared" si="41"/>
        <v>6.1649149986360658</v>
      </c>
      <c r="D51" s="10">
        <f t="shared" ref="D51:E51" si="42">+D41/D47</f>
        <v>6.1177584297158782</v>
      </c>
      <c r="E51" s="10">
        <f t="shared" si="42"/>
        <v>6.8569884726224783</v>
      </c>
      <c r="F51" s="10">
        <f t="shared" ref="F51:G51" si="43">+F41/F47</f>
        <v>6.8798527926107669</v>
      </c>
      <c r="G51" s="10">
        <f t="shared" si="43"/>
        <v>7.2460405070259224</v>
      </c>
      <c r="H51" s="10">
        <f t="shared" ref="H51:M51" si="44">+H41/H47</f>
        <v>7.2971034791865019</v>
      </c>
      <c r="I51" s="10">
        <f t="shared" si="44"/>
        <v>6.7465045329014908</v>
      </c>
      <c r="J51" s="10">
        <f t="shared" si="44"/>
        <v>6.5049713896037202</v>
      </c>
      <c r="K51" s="10">
        <f t="shared" si="44"/>
        <v>6.3519487502831886</v>
      </c>
      <c r="L51" s="10">
        <f t="shared" si="44"/>
        <v>6.2321681136860736</v>
      </c>
      <c r="M51" s="10">
        <f t="shared" si="44"/>
        <v>6.3553719008264462</v>
      </c>
    </row>
    <row r="52" spans="1:20" s="10" customFormat="1" x14ac:dyDescent="0.2">
      <c r="A52" s="10" t="s">
        <v>4</v>
      </c>
      <c r="B52" s="10">
        <f t="shared" ref="B52:C52" si="45">+(B41-B44)/B47</f>
        <v>5.9511291256514189</v>
      </c>
      <c r="C52" s="10">
        <f t="shared" si="45"/>
        <v>6.0725612612009812</v>
      </c>
      <c r="D52" s="10">
        <f t="shared" ref="D52:E52" si="46">+(D41-D44)/D47</f>
        <v>5.9326550063110197</v>
      </c>
      <c r="E52" s="10">
        <f t="shared" si="46"/>
        <v>6.6798789625360238</v>
      </c>
      <c r="F52" s="10">
        <f t="shared" ref="F52:G52" si="47">+(F41-F44)/F47</f>
        <v>6.6529340453167851</v>
      </c>
      <c r="G52" s="10">
        <f t="shared" si="47"/>
        <v>6.6985456238415804</v>
      </c>
      <c r="H52" s="10">
        <f t="shared" ref="H52:M52" si="48">+(H41-H44)/H47</f>
        <v>7.2588616198460114</v>
      </c>
      <c r="I52" s="10">
        <f t="shared" si="48"/>
        <v>6.6768207515796467</v>
      </c>
      <c r="J52" s="10">
        <f t="shared" si="48"/>
        <v>6.4453119080426218</v>
      </c>
      <c r="K52" s="10">
        <f t="shared" si="48"/>
        <v>6.2885526103891483</v>
      </c>
      <c r="L52" s="10">
        <f t="shared" si="48"/>
        <v>6.1659988459628812</v>
      </c>
      <c r="M52" s="10">
        <f t="shared" si="48"/>
        <v>6.327823691460055</v>
      </c>
    </row>
    <row r="53" spans="1:20" s="6" customFormat="1" x14ac:dyDescent="0.2">
      <c r="A53" s="6" t="s">
        <v>3</v>
      </c>
      <c r="B53" s="6">
        <f t="shared" ref="B53:C53" si="49">+B48/B41</f>
        <v>-2.5714919648800263E-2</v>
      </c>
      <c r="C53" s="6">
        <f t="shared" si="49"/>
        <v>-5.1454869916408373E-2</v>
      </c>
      <c r="D53" s="6">
        <f t="shared" ref="D53:E53" si="50">+D48/D41</f>
        <v>-2.1322750765797531E-2</v>
      </c>
      <c r="E53" s="6">
        <f t="shared" si="50"/>
        <v>-3.1272918308379314E-3</v>
      </c>
      <c r="F53" s="6">
        <f t="shared" ref="F53:G53" si="51">+F48/F41</f>
        <v>-3.3731553056922081E-4</v>
      </c>
      <c r="G53" s="6">
        <f t="shared" si="51"/>
        <v>8.7647872953014044E-3</v>
      </c>
      <c r="H53" s="6">
        <f t="shared" ref="H53:M53" si="52">+H48/H41</f>
        <v>-4.8652873065300459E-4</v>
      </c>
      <c r="I53" s="6">
        <f t="shared" si="52"/>
        <v>-1.4303625199584225E-2</v>
      </c>
      <c r="J53" s="6">
        <f t="shared" si="52"/>
        <v>-1.9995901595142329E-3</v>
      </c>
      <c r="K53" s="6">
        <f t="shared" si="52"/>
        <v>-7.6622639409501614E-3</v>
      </c>
      <c r="L53" s="6">
        <f t="shared" si="52"/>
        <v>-1.0823220163151442E-2</v>
      </c>
      <c r="M53" s="6">
        <f t="shared" si="52"/>
        <v>3.3464667813265202E-2</v>
      </c>
    </row>
    <row r="54" spans="1:20" s="6" customFormat="1" x14ac:dyDescent="0.2">
      <c r="A54" s="8" t="s">
        <v>2</v>
      </c>
      <c r="B54" s="9"/>
      <c r="C54" s="9"/>
      <c r="D54" s="9"/>
      <c r="E54" s="9"/>
      <c r="F54" s="9"/>
      <c r="G54" s="9"/>
      <c r="H54" s="9"/>
      <c r="I54" s="9"/>
      <c r="J54" s="9"/>
      <c r="K54" s="9"/>
      <c r="L54" s="9"/>
      <c r="M54" s="9"/>
      <c r="N54" s="9"/>
      <c r="O54" s="9"/>
      <c r="P54" s="9"/>
      <c r="Q54" s="9"/>
      <c r="R54" s="8"/>
      <c r="S54" s="8"/>
      <c r="T54" s="8"/>
    </row>
    <row r="55" spans="1:20" s="6" customFormat="1" x14ac:dyDescent="0.2">
      <c r="A55" s="6" t="s">
        <v>1</v>
      </c>
      <c r="B55" s="7">
        <f t="shared" ref="B55:C55" si="53">IF(B42=0,IF(B54="","","*"&amp;TEXT(B54,"0.0x")),(B41+B42-B44)/B47)</f>
        <v>9.1628643119088977</v>
      </c>
      <c r="C55" s="7">
        <f t="shared" si="53"/>
        <v>9.2842385905677567</v>
      </c>
      <c r="D55" s="7">
        <f t="shared" ref="D55:E55" si="54">IF(D42=0,IF(D54="","","*"&amp;TEXT(D54,"0.0x")),(D41+D42-D44)/D47)</f>
        <v>9.1474099070090968</v>
      </c>
      <c r="E55" s="7">
        <f t="shared" si="54"/>
        <v>10.27642074927954</v>
      </c>
      <c r="F55" s="7">
        <f t="shared" ref="F55:G55" si="55">IF(F42=0,IF(F54="","","*"&amp;TEXT(F54,"0.0x")),(F41+F42-F44)/F47)</f>
        <v>10.255185452446241</v>
      </c>
      <c r="G55" s="7">
        <f t="shared" si="55"/>
        <v>10.352786505075823</v>
      </c>
      <c r="H55" s="7">
        <f t="shared" ref="H55:I55" si="56">IF(H42=0,IF(H54="","","*"&amp;TEXT(H54,"0.0x")),(H41+H42-H44)/H47)</f>
        <v>10.938855486522897</v>
      </c>
      <c r="I55" s="7">
        <f t="shared" si="56"/>
        <v>10.285791125056027</v>
      </c>
      <c r="J55" s="7">
        <f t="shared" ref="J55:K55" si="57">IF(J42=0,IF(J54="","","*"&amp;TEXT(J54,"0.0x")),(J41+J42-J44)/J47)</f>
        <v>9.9475948464804578</v>
      </c>
      <c r="K55" s="7">
        <f t="shared" si="57"/>
        <v>9.6950101402161231</v>
      </c>
      <c r="L55" s="7">
        <f t="shared" ref="L55:Q55" si="58">IF(L42=0,IF(L54="","","*"&amp;TEXT(L54,"0.0x")),(L41+L42-L44)/L47)</f>
        <v>9.5153902926691796</v>
      </c>
      <c r="M55" s="7">
        <f t="shared" si="58"/>
        <v>9.7658402203856749</v>
      </c>
      <c r="N55" s="7" t="str">
        <f t="shared" si="58"/>
        <v/>
      </c>
      <c r="O55" s="7" t="str">
        <f t="shared" si="58"/>
        <v/>
      </c>
      <c r="P55" s="7" t="str">
        <f t="shared" si="58"/>
        <v/>
      </c>
      <c r="Q55" s="7" t="str">
        <f t="shared" si="58"/>
        <v/>
      </c>
      <c r="R55" s="7" t="str">
        <f t="shared" ref="R55:T55" si="59">IF(R42=0,IF(R54="","",CONCATENATE("* ",R54,"x")),(R41+R42-R44)/R47)</f>
        <v/>
      </c>
      <c r="S55" s="7" t="str">
        <f t="shared" si="59"/>
        <v/>
      </c>
      <c r="T55" s="7" t="str">
        <f t="shared" si="59"/>
        <v/>
      </c>
    </row>
    <row r="56" spans="1:20" x14ac:dyDescent="0.2">
      <c r="Q56" s="3"/>
    </row>
    <row r="57" spans="1:20" ht="80.25" customHeight="1" x14ac:dyDescent="0.2">
      <c r="A57" s="5" t="s">
        <v>0</v>
      </c>
      <c r="B57" s="4" t="s">
        <v>367</v>
      </c>
      <c r="C57" s="4" t="s">
        <v>367</v>
      </c>
      <c r="D57" s="4" t="s">
        <v>367</v>
      </c>
      <c r="E57" s="4" t="s">
        <v>367</v>
      </c>
      <c r="F57" s="4" t="s">
        <v>367</v>
      </c>
      <c r="G57" s="4" t="s">
        <v>367</v>
      </c>
      <c r="H57" s="4" t="s">
        <v>367</v>
      </c>
      <c r="I57" s="4" t="s">
        <v>367</v>
      </c>
      <c r="J57" s="4" t="s">
        <v>367</v>
      </c>
      <c r="K57" s="4" t="s">
        <v>367</v>
      </c>
      <c r="L57" s="4" t="s">
        <v>235</v>
      </c>
      <c r="M57" s="4" t="s">
        <v>104</v>
      </c>
      <c r="N57" s="4"/>
      <c r="O57" s="4"/>
      <c r="P57" s="4"/>
      <c r="Q57" s="4"/>
      <c r="R57" s="4"/>
      <c r="S57" s="4"/>
      <c r="T57" s="4"/>
    </row>
    <row r="58" spans="1:20" x14ac:dyDescent="0.2">
      <c r="A58" s="2"/>
      <c r="B58" s="3"/>
      <c r="C58" s="3"/>
      <c r="D58" s="3"/>
      <c r="E58" s="3"/>
      <c r="F58" s="3"/>
      <c r="G58" s="3"/>
      <c r="H58" s="3"/>
      <c r="I58" s="3"/>
      <c r="J58" s="3"/>
      <c r="K58" s="3"/>
      <c r="L58" s="3"/>
      <c r="M58" s="3"/>
    </row>
    <row r="59" spans="1:20" x14ac:dyDescent="0.2">
      <c r="A59" s="2"/>
    </row>
  </sheetData>
  <pageMargins left="0.7" right="0.7" top="0.75" bottom="0.75" header="0.3" footer="0.3"/>
  <pageSetup orientation="portrait" r:id="rId1"/>
  <ignoredErrors>
    <ignoredError sqref="K46:N52 G46:I47 J46:J52 C53:J53 C48:I52 C46:F47" formulaRange="1"/>
    <ignoredError sqref="L22" formula="1"/>
  </ignoredErrors>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2:U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9" width="10.7109375" style="1" customWidth="1"/>
    <col min="20" max="16384" width="9.140625" style="1"/>
  </cols>
  <sheetData>
    <row r="2" spans="1:19" x14ac:dyDescent="0.2">
      <c r="A2" s="34" t="s">
        <v>45</v>
      </c>
      <c r="B2" s="1" t="s">
        <v>247</v>
      </c>
    </row>
    <row r="3" spans="1:19" s="35" customFormat="1" x14ac:dyDescent="0.2">
      <c r="A3" s="36" t="s">
        <v>43</v>
      </c>
      <c r="B3" s="35" t="s">
        <v>248</v>
      </c>
    </row>
    <row r="4" spans="1:19" x14ac:dyDescent="0.2">
      <c r="A4" s="34" t="s">
        <v>41</v>
      </c>
      <c r="B4" s="1" t="s">
        <v>40</v>
      </c>
    </row>
    <row r="5" spans="1:19" x14ac:dyDescent="0.2">
      <c r="A5" s="34" t="s">
        <v>39</v>
      </c>
    </row>
    <row r="6" spans="1:19" x14ac:dyDescent="0.2">
      <c r="A6" s="34" t="s">
        <v>38</v>
      </c>
      <c r="B6" s="1">
        <v>4</v>
      </c>
    </row>
    <row r="7" spans="1:19" x14ac:dyDescent="0.2">
      <c r="A7" s="34" t="s">
        <v>37</v>
      </c>
      <c r="B7" s="1" t="s">
        <v>377</v>
      </c>
    </row>
    <row r="8" spans="1:19" x14ac:dyDescent="0.2">
      <c r="A8" s="34" t="s">
        <v>281</v>
      </c>
      <c r="B8" s="1" t="s">
        <v>288</v>
      </c>
    </row>
    <row r="9" spans="1:19" x14ac:dyDescent="0.2">
      <c r="A9" s="22"/>
    </row>
    <row r="10" spans="1:19"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f>EOMONTH(M10,-3)</f>
        <v>43281</v>
      </c>
      <c r="O10" s="33">
        <f t="shared" ref="O10:S10" si="0">EOMONTH(N10,-3)</f>
        <v>43190</v>
      </c>
      <c r="P10" s="33">
        <f t="shared" si="0"/>
        <v>43100</v>
      </c>
      <c r="Q10" s="33">
        <f t="shared" si="0"/>
        <v>43008</v>
      </c>
      <c r="R10" s="33">
        <f t="shared" si="0"/>
        <v>42916</v>
      </c>
      <c r="S10" s="33">
        <f t="shared" si="0"/>
        <v>42825</v>
      </c>
    </row>
    <row r="12" spans="1:19" x14ac:dyDescent="0.2">
      <c r="A12" s="15" t="s">
        <v>35</v>
      </c>
      <c r="B12" s="19">
        <v>306.84500000000003</v>
      </c>
      <c r="C12" s="19">
        <v>156.834</v>
      </c>
      <c r="D12" s="19">
        <v>115.02800000000008</v>
      </c>
      <c r="E12" s="19">
        <v>117.97799999999998</v>
      </c>
      <c r="F12" s="19">
        <v>308.77699999999999</v>
      </c>
      <c r="G12" s="19">
        <v>144.751</v>
      </c>
      <c r="H12" s="19">
        <f>762.853-I12-J12-K12</f>
        <v>144.60899999999995</v>
      </c>
      <c r="I12" s="19">
        <v>102.235</v>
      </c>
      <c r="J12" s="19">
        <v>357.87799999999999</v>
      </c>
      <c r="K12" s="19">
        <v>158.131</v>
      </c>
      <c r="L12" s="19">
        <v>136.46</v>
      </c>
      <c r="M12" s="19">
        <v>106.80300000000001</v>
      </c>
      <c r="N12" s="19">
        <v>370.72800000000001</v>
      </c>
      <c r="O12" s="19">
        <v>161.042</v>
      </c>
      <c r="P12" s="19">
        <v>137.36600000000001</v>
      </c>
      <c r="Q12" s="19">
        <v>104.73399999999999</v>
      </c>
      <c r="R12" s="19">
        <v>355.95499999999998</v>
      </c>
      <c r="S12" s="19">
        <v>170.2</v>
      </c>
    </row>
    <row r="13" spans="1:19" s="28" customFormat="1" x14ac:dyDescent="0.2">
      <c r="A13" s="28" t="s">
        <v>34</v>
      </c>
      <c r="B13" s="28">
        <f t="shared" ref="B13:M13" si="1">+B12/F12-1</f>
        <v>-6.2569427127019406E-3</v>
      </c>
      <c r="C13" s="28">
        <f t="shared" si="1"/>
        <v>8.3474380142451565E-2</v>
      </c>
      <c r="D13" s="28">
        <f t="shared" si="1"/>
        <v>-0.2045584991252265</v>
      </c>
      <c r="E13" s="28">
        <f t="shared" si="1"/>
        <v>0.15398836015063311</v>
      </c>
      <c r="F13" s="28">
        <f t="shared" si="1"/>
        <v>-0.13720038672396739</v>
      </c>
      <c r="G13" s="28">
        <f t="shared" si="1"/>
        <v>-8.4613390163851498E-2</v>
      </c>
      <c r="H13" s="28">
        <f t="shared" si="1"/>
        <v>5.9717133225853258E-2</v>
      </c>
      <c r="I13" s="28">
        <f t="shared" si="1"/>
        <v>-4.2770334166643331E-2</v>
      </c>
      <c r="J13" s="28">
        <f t="shared" si="1"/>
        <v>-3.4661530825834674E-2</v>
      </c>
      <c r="K13" s="28">
        <f t="shared" si="1"/>
        <v>-1.8076029855565667E-2</v>
      </c>
      <c r="L13" s="28">
        <f t="shared" si="1"/>
        <v>-6.5955185417061468E-3</v>
      </c>
      <c r="M13" s="28">
        <f t="shared" si="1"/>
        <v>1.9754807416884734E-2</v>
      </c>
      <c r="N13" s="28">
        <f t="shared" ref="N13:O13" si="2">+N12/R12-1</f>
        <v>4.1502437105813916E-2</v>
      </c>
      <c r="O13" s="28">
        <f t="shared" si="2"/>
        <v>-5.3807285546415895E-2</v>
      </c>
    </row>
    <row r="14" spans="1:19"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c r="Q14" s="31"/>
      <c r="R14" s="31"/>
      <c r="S14" s="31"/>
    </row>
    <row r="16" spans="1:19" s="22" customFormat="1" x14ac:dyDescent="0.2">
      <c r="A16" s="30" t="s">
        <v>31</v>
      </c>
      <c r="B16" s="29">
        <v>100.61100000000002</v>
      </c>
      <c r="C16" s="29">
        <v>21.25200000000001</v>
      </c>
      <c r="D16" s="29">
        <v>-5.7179999999999325</v>
      </c>
      <c r="E16" s="29">
        <v>17.290999999999997</v>
      </c>
      <c r="F16" s="29">
        <v>123.43700000000001</v>
      </c>
      <c r="G16" s="29">
        <v>-2.0180000000000007</v>
      </c>
      <c r="H16" s="29">
        <f>7.762+15.116</f>
        <v>22.878</v>
      </c>
      <c r="I16" s="29">
        <v>8.230000000000004</v>
      </c>
      <c r="J16" s="29">
        <v>145.68</v>
      </c>
      <c r="K16" s="29">
        <v>-4.3230000000000288</v>
      </c>
      <c r="L16" s="29">
        <f>-558.6+560.535+0.122</f>
        <v>2.0569999999999453</v>
      </c>
      <c r="M16" s="29">
        <v>-10.605999999999995</v>
      </c>
      <c r="N16" s="29">
        <v>130.47800000000001</v>
      </c>
      <c r="O16" s="29">
        <v>7.6000000000007617E-2</v>
      </c>
      <c r="P16" s="29"/>
      <c r="Q16" s="29"/>
      <c r="R16" s="29"/>
      <c r="S16" s="29"/>
    </row>
    <row r="17" spans="1:19" s="28" customFormat="1" x14ac:dyDescent="0.2">
      <c r="A17" s="28" t="s">
        <v>30</v>
      </c>
      <c r="B17" s="28">
        <f t="shared" ref="B17" si="3">B16/B12</f>
        <v>0.3278886734344702</v>
      </c>
      <c r="C17" s="28">
        <f t="shared" ref="C17:D17" si="4">C16/C12</f>
        <v>0.1355063315352539</v>
      </c>
      <c r="D17" s="28">
        <f t="shared" si="4"/>
        <v>-4.9709635914733187E-2</v>
      </c>
      <c r="E17" s="28">
        <f t="shared" ref="E17:F17" si="5">E16/E12</f>
        <v>0.14656122327891641</v>
      </c>
      <c r="F17" s="28">
        <f t="shared" si="5"/>
        <v>0.39976099256097447</v>
      </c>
      <c r="G17" s="28">
        <f t="shared" ref="G17:I17" si="6">G16/G12</f>
        <v>-1.3941181753493936E-2</v>
      </c>
      <c r="H17" s="28">
        <f t="shared" si="6"/>
        <v>0.15820592079331167</v>
      </c>
      <c r="I17" s="28">
        <f t="shared" si="6"/>
        <v>8.0500806964346888E-2</v>
      </c>
      <c r="J17" s="28">
        <f t="shared" ref="J17:O17" si="7">J16/J12</f>
        <v>0.40706609514974379</v>
      </c>
      <c r="K17" s="28">
        <f t="shared" si="7"/>
        <v>-2.7338093100024847E-2</v>
      </c>
      <c r="L17" s="28">
        <f t="shared" si="7"/>
        <v>1.5074014363182949E-2</v>
      </c>
      <c r="M17" s="28">
        <f t="shared" si="7"/>
        <v>-9.9304326657490838E-2</v>
      </c>
      <c r="N17" s="28">
        <f t="shared" si="7"/>
        <v>0.35195075634966877</v>
      </c>
      <c r="O17" s="28">
        <f t="shared" si="7"/>
        <v>4.7192657815978205E-4</v>
      </c>
    </row>
    <row r="18" spans="1:19" s="23" customFormat="1" x14ac:dyDescent="0.2"/>
    <row r="19" spans="1:19"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c r="Q19" s="19"/>
      <c r="R19" s="19"/>
      <c r="S19" s="19"/>
    </row>
    <row r="20" spans="1:19"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c r="Q20" s="19"/>
      <c r="R20" s="19"/>
      <c r="S20" s="19"/>
    </row>
    <row r="21" spans="1:19" s="23" customFormat="1" x14ac:dyDescent="0.2">
      <c r="A21" s="15" t="s">
        <v>18</v>
      </c>
      <c r="B21" s="19">
        <v>7.7269999999999754</v>
      </c>
      <c r="C21" s="19">
        <v>3.3699999999999903</v>
      </c>
      <c r="D21" s="19">
        <v>19.424999999999937</v>
      </c>
      <c r="E21" s="19">
        <v>6.8239999999999839</v>
      </c>
      <c r="F21" s="19">
        <v>7.9319999999999879</v>
      </c>
      <c r="G21" s="19">
        <v>13.818000000000001</v>
      </c>
      <c r="H21" s="19">
        <f>0.854+0.18</f>
        <v>1.034</v>
      </c>
      <c r="I21" s="19">
        <v>0.46599999999999575</v>
      </c>
      <c r="J21" s="19">
        <v>7.4939999999999998</v>
      </c>
      <c r="K21" s="19">
        <v>23.768000000000029</v>
      </c>
      <c r="L21" s="19">
        <f>0.826+14.174</f>
        <v>15</v>
      </c>
      <c r="M21" s="19">
        <v>20.991999999999994</v>
      </c>
      <c r="N21" s="19">
        <v>22.554000000000002</v>
      </c>
      <c r="O21" s="19">
        <v>20.868999999999993</v>
      </c>
      <c r="P21" s="19"/>
      <c r="Q21" s="19"/>
      <c r="R21" s="19"/>
      <c r="S21" s="19"/>
    </row>
    <row r="22" spans="1:19" s="22" customFormat="1" x14ac:dyDescent="0.2">
      <c r="A22" s="22" t="s">
        <v>23</v>
      </c>
      <c r="B22" s="124">
        <f t="shared" ref="B22:D22" si="8">B16+B19+B20+B21</f>
        <v>108.33799999999999</v>
      </c>
      <c r="C22" s="124">
        <f t="shared" si="8"/>
        <v>24.622</v>
      </c>
      <c r="D22" s="124">
        <f t="shared" si="8"/>
        <v>13.707000000000004</v>
      </c>
      <c r="E22" s="124">
        <f t="shared" ref="E22:F22" si="9">E16+E19+E20+E21</f>
        <v>24.114999999999981</v>
      </c>
      <c r="F22" s="124">
        <f t="shared" si="9"/>
        <v>131.369</v>
      </c>
      <c r="G22" s="124">
        <f t="shared" ref="G22:O22" si="10">G16+G19+G20+G21</f>
        <v>11.8</v>
      </c>
      <c r="H22" s="124">
        <f t="shared" si="10"/>
        <v>23.911999999999999</v>
      </c>
      <c r="I22" s="124">
        <f t="shared" si="10"/>
        <v>8.6959999999999997</v>
      </c>
      <c r="J22" s="124">
        <f t="shared" si="10"/>
        <v>153.17400000000001</v>
      </c>
      <c r="K22" s="124">
        <f t="shared" si="10"/>
        <v>19.445</v>
      </c>
      <c r="L22" s="124">
        <f t="shared" si="10"/>
        <v>17.056999999999945</v>
      </c>
      <c r="M22" s="124">
        <f t="shared" si="10"/>
        <v>10.385999999999999</v>
      </c>
      <c r="N22" s="124">
        <f t="shared" si="10"/>
        <v>153.03200000000001</v>
      </c>
      <c r="O22" s="124">
        <f t="shared" si="10"/>
        <v>20.945</v>
      </c>
      <c r="P22" s="20"/>
      <c r="Q22" s="20"/>
      <c r="R22" s="20"/>
      <c r="S22" s="20"/>
    </row>
    <row r="23" spans="1:19" s="22" customFormat="1" x14ac:dyDescent="0.2">
      <c r="B23" s="20"/>
      <c r="C23" s="20"/>
      <c r="D23" s="20"/>
      <c r="E23" s="20"/>
      <c r="F23" s="20"/>
      <c r="G23" s="20"/>
      <c r="H23" s="20"/>
      <c r="I23" s="20"/>
      <c r="J23" s="20"/>
      <c r="K23" s="20"/>
      <c r="L23" s="20"/>
      <c r="M23" s="20"/>
      <c r="N23" s="20"/>
      <c r="O23" s="20"/>
      <c r="P23" s="20"/>
      <c r="Q23" s="20"/>
      <c r="R23" s="20"/>
      <c r="S23" s="20"/>
    </row>
    <row r="24" spans="1:19" s="22" customFormat="1" x14ac:dyDescent="0.2">
      <c r="A24" s="22" t="s">
        <v>27</v>
      </c>
      <c r="B24" s="20">
        <f t="shared" ref="B24:L24" si="11">SUM(B22:E22)</f>
        <v>170.78199999999995</v>
      </c>
      <c r="C24" s="20">
        <f t="shared" si="11"/>
        <v>193.81299999999999</v>
      </c>
      <c r="D24" s="20">
        <f t="shared" si="11"/>
        <v>180.99099999999999</v>
      </c>
      <c r="E24" s="20">
        <f t="shared" si="11"/>
        <v>191.196</v>
      </c>
      <c r="F24" s="20">
        <f t="shared" si="11"/>
        <v>175.77700000000002</v>
      </c>
      <c r="G24" s="20">
        <f t="shared" si="11"/>
        <v>197.58199999999999</v>
      </c>
      <c r="H24" s="20">
        <f t="shared" si="11"/>
        <v>205.227</v>
      </c>
      <c r="I24" s="20">
        <f t="shared" si="11"/>
        <v>198.37199999999996</v>
      </c>
      <c r="J24" s="20">
        <f t="shared" si="11"/>
        <v>200.06199999999993</v>
      </c>
      <c r="K24" s="20">
        <f t="shared" si="11"/>
        <v>199.91999999999996</v>
      </c>
      <c r="L24" s="20">
        <f t="shared" si="11"/>
        <v>201.41999999999996</v>
      </c>
      <c r="M24" s="20"/>
      <c r="N24" s="20"/>
      <c r="O24" s="20"/>
      <c r="P24" s="20"/>
      <c r="Q24" s="20"/>
      <c r="R24" s="20"/>
      <c r="S24" s="20"/>
    </row>
    <row r="25" spans="1:19" s="23" customFormat="1" x14ac:dyDescent="0.2">
      <c r="A25" s="15" t="s">
        <v>26</v>
      </c>
      <c r="B25" s="27">
        <v>0</v>
      </c>
      <c r="C25" s="27">
        <v>0</v>
      </c>
      <c r="D25" s="27">
        <v>0</v>
      </c>
      <c r="E25" s="27">
        <v>0</v>
      </c>
      <c r="F25" s="27">
        <v>0</v>
      </c>
      <c r="G25" s="27">
        <v>0</v>
      </c>
      <c r="H25" s="27">
        <v>0</v>
      </c>
      <c r="I25" s="27">
        <v>0</v>
      </c>
      <c r="J25" s="27">
        <v>0</v>
      </c>
      <c r="K25" s="27">
        <v>0</v>
      </c>
      <c r="L25" s="27">
        <f>203.647-L24</f>
        <v>2.2270000000000323</v>
      </c>
      <c r="M25" s="27"/>
      <c r="N25" s="27"/>
      <c r="O25" s="27"/>
      <c r="P25" s="27"/>
      <c r="Q25" s="27"/>
      <c r="R25" s="27"/>
      <c r="S25" s="27"/>
    </row>
    <row r="26" spans="1:19" s="23" customFormat="1" x14ac:dyDescent="0.2">
      <c r="A26" s="15" t="s">
        <v>25</v>
      </c>
      <c r="B26" s="21">
        <v>0</v>
      </c>
      <c r="C26" s="21">
        <v>0</v>
      </c>
      <c r="D26" s="21">
        <v>0</v>
      </c>
      <c r="E26" s="21">
        <v>0</v>
      </c>
      <c r="F26" s="21">
        <v>0</v>
      </c>
      <c r="G26" s="21">
        <v>0</v>
      </c>
      <c r="H26" s="21">
        <v>0</v>
      </c>
      <c r="I26" s="21">
        <v>0</v>
      </c>
      <c r="J26" s="21">
        <v>0</v>
      </c>
      <c r="K26" s="21">
        <v>0</v>
      </c>
      <c r="L26" s="21">
        <v>0</v>
      </c>
      <c r="M26" s="21"/>
      <c r="N26" s="21"/>
      <c r="O26" s="21"/>
      <c r="P26" s="21"/>
      <c r="Q26" s="21"/>
      <c r="R26" s="26"/>
      <c r="S26" s="26"/>
    </row>
    <row r="27" spans="1:19" s="24" customFormat="1" x14ac:dyDescent="0.2">
      <c r="A27" s="22" t="s">
        <v>24</v>
      </c>
      <c r="B27" s="20">
        <f t="shared" ref="B27" si="12">B24+B25+B26</f>
        <v>170.78199999999995</v>
      </c>
      <c r="C27" s="20">
        <f t="shared" ref="C27:D27" si="13">C24+C25+C26</f>
        <v>193.81299999999999</v>
      </c>
      <c r="D27" s="20">
        <f t="shared" si="13"/>
        <v>180.99099999999999</v>
      </c>
      <c r="E27" s="20">
        <f t="shared" ref="E27:F27" si="14">E24+E25+E26</f>
        <v>191.196</v>
      </c>
      <c r="F27" s="20">
        <f t="shared" si="14"/>
        <v>175.77700000000002</v>
      </c>
      <c r="G27" s="20">
        <f t="shared" ref="G27:L27" si="15">G24+G25+G26</f>
        <v>197.58199999999999</v>
      </c>
      <c r="H27" s="20">
        <f t="shared" si="15"/>
        <v>205.227</v>
      </c>
      <c r="I27" s="20">
        <f t="shared" si="15"/>
        <v>198.37199999999996</v>
      </c>
      <c r="J27" s="20">
        <f t="shared" si="15"/>
        <v>200.06199999999993</v>
      </c>
      <c r="K27" s="20">
        <f t="shared" si="15"/>
        <v>199.91999999999996</v>
      </c>
      <c r="L27" s="20">
        <f t="shared" si="15"/>
        <v>203.64699999999999</v>
      </c>
      <c r="M27" s="20"/>
      <c r="N27" s="20"/>
      <c r="O27" s="20"/>
      <c r="P27" s="20"/>
      <c r="Q27" s="20"/>
      <c r="R27" s="25"/>
      <c r="S27" s="25"/>
    </row>
    <row r="28" spans="1:19" s="23" customFormat="1" x14ac:dyDescent="0.2"/>
    <row r="29" spans="1:19" s="22" customFormat="1" x14ac:dyDescent="0.2">
      <c r="A29" s="22" t="s">
        <v>23</v>
      </c>
      <c r="B29" s="20">
        <f t="shared" ref="B29" si="16">B22</f>
        <v>108.33799999999999</v>
      </c>
      <c r="C29" s="20">
        <f t="shared" ref="C29:D29" si="17">C22</f>
        <v>24.622</v>
      </c>
      <c r="D29" s="20">
        <f t="shared" si="17"/>
        <v>13.707000000000004</v>
      </c>
      <c r="E29" s="20">
        <f t="shared" ref="E29:F29" si="18">E22</f>
        <v>24.114999999999981</v>
      </c>
      <c r="F29" s="20">
        <f t="shared" si="18"/>
        <v>131.369</v>
      </c>
      <c r="G29" s="20">
        <f t="shared" ref="G29:L29" si="19">G22</f>
        <v>11.8</v>
      </c>
      <c r="H29" s="20">
        <f t="shared" si="19"/>
        <v>23.911999999999999</v>
      </c>
      <c r="I29" s="20">
        <f t="shared" si="19"/>
        <v>8.6959999999999997</v>
      </c>
      <c r="J29" s="20">
        <f t="shared" si="19"/>
        <v>153.17400000000001</v>
      </c>
      <c r="K29" s="20">
        <f t="shared" si="19"/>
        <v>19.445</v>
      </c>
      <c r="L29" s="20">
        <f t="shared" si="19"/>
        <v>17.056999999999945</v>
      </c>
      <c r="M29" s="20"/>
      <c r="N29" s="20"/>
      <c r="O29" s="20"/>
      <c r="P29" s="20"/>
      <c r="Q29" s="20"/>
      <c r="R29" s="20"/>
      <c r="S29" s="20"/>
    </row>
    <row r="30" spans="1:19" s="11" customFormat="1" x14ac:dyDescent="0.2">
      <c r="A30" s="19" t="s">
        <v>22</v>
      </c>
      <c r="B30" s="19">
        <v>-14.568000000000001</v>
      </c>
      <c r="C30" s="19">
        <v>-7.38</v>
      </c>
      <c r="D30" s="19">
        <v>-14.596999999999994</v>
      </c>
      <c r="E30" s="19">
        <v>-19.423000000000002</v>
      </c>
      <c r="F30" s="19">
        <v>-16.766999999999999</v>
      </c>
      <c r="G30" s="19">
        <v>-18.989000000000001</v>
      </c>
      <c r="H30" s="19">
        <v>-22.218</v>
      </c>
      <c r="I30" s="19">
        <v>-23.122</v>
      </c>
      <c r="J30" s="19">
        <v>-19.365000000000002</v>
      </c>
      <c r="K30" s="19">
        <v>-23.11</v>
      </c>
      <c r="L30" s="19">
        <v>-5.7</v>
      </c>
      <c r="M30" s="19"/>
      <c r="N30" s="19"/>
      <c r="O30" s="19"/>
      <c r="P30" s="19"/>
      <c r="Q30" s="19"/>
      <c r="R30" s="19"/>
      <c r="S30" s="19"/>
    </row>
    <row r="31" spans="1:19" s="11" customFormat="1" x14ac:dyDescent="0.2">
      <c r="A31" s="19" t="s">
        <v>21</v>
      </c>
      <c r="B31" s="19">
        <v>-0.71399999999999997</v>
      </c>
      <c r="C31" s="19">
        <v>-0.252</v>
      </c>
      <c r="D31" s="19">
        <v>5.6599999999999993</v>
      </c>
      <c r="E31" s="19">
        <v>-9.4939999999999998</v>
      </c>
      <c r="F31" s="19">
        <v>0.11399999999999999</v>
      </c>
      <c r="G31" s="19">
        <v>-0.317</v>
      </c>
      <c r="H31" s="19">
        <v>10.589</v>
      </c>
      <c r="I31" s="19">
        <v>-16.428000000000001</v>
      </c>
      <c r="J31" s="19">
        <v>-15.572000000000001</v>
      </c>
      <c r="K31" s="19">
        <v>14.092000000000001</v>
      </c>
      <c r="L31" s="19">
        <v>-4.2939999999999996</v>
      </c>
      <c r="M31" s="19"/>
      <c r="N31" s="19"/>
      <c r="O31" s="19"/>
      <c r="P31" s="19"/>
      <c r="Q31" s="19"/>
      <c r="R31" s="19"/>
      <c r="S31" s="19"/>
    </row>
    <row r="32" spans="1:19" s="11" customFormat="1" x14ac:dyDescent="0.2">
      <c r="A32" s="19" t="s">
        <v>20</v>
      </c>
      <c r="B32" s="19">
        <v>-84.960000000000008</v>
      </c>
      <c r="C32" s="19">
        <v>64.579000000000008</v>
      </c>
      <c r="D32" s="19">
        <v>120.271</v>
      </c>
      <c r="E32" s="19">
        <v>-60.475000000000009</v>
      </c>
      <c r="F32" s="19">
        <v>-79.799000000000007</v>
      </c>
      <c r="G32" s="19">
        <v>15.791000000000007</v>
      </c>
      <c r="H32" s="19">
        <f>-2.175+31.759+0.834-11.631+8.877+1.261-0.83+7.657-4.628-I32-J32-K32</f>
        <v>143.751</v>
      </c>
      <c r="I32" s="19">
        <v>-74.686999999999998</v>
      </c>
      <c r="J32" s="19">
        <v>-67.811000000000007</v>
      </c>
      <c r="K32" s="19">
        <v>29.871000000000009</v>
      </c>
      <c r="L32" s="19">
        <v>7.7860000000000031</v>
      </c>
      <c r="M32" s="19"/>
      <c r="N32" s="19"/>
      <c r="O32" s="19"/>
      <c r="P32" s="19"/>
      <c r="Q32" s="19"/>
      <c r="R32" s="19"/>
      <c r="S32" s="19"/>
    </row>
    <row r="33" spans="1:21" s="11" customFormat="1" x14ac:dyDescent="0.2">
      <c r="A33" s="19" t="s">
        <v>19</v>
      </c>
      <c r="B33" s="19">
        <v>0</v>
      </c>
      <c r="C33" s="19">
        <v>0</v>
      </c>
      <c r="D33" s="19">
        <v>0</v>
      </c>
      <c r="E33" s="19">
        <v>0</v>
      </c>
      <c r="F33" s="19">
        <v>0</v>
      </c>
      <c r="G33" s="19">
        <v>0</v>
      </c>
      <c r="H33" s="19">
        <v>0</v>
      </c>
      <c r="I33" s="19">
        <v>0</v>
      </c>
      <c r="J33" s="19">
        <v>0</v>
      </c>
      <c r="K33" s="19">
        <v>0</v>
      </c>
      <c r="L33" s="19">
        <v>0</v>
      </c>
      <c r="M33" s="19"/>
      <c r="N33" s="19"/>
      <c r="O33" s="19"/>
      <c r="P33" s="19"/>
      <c r="Q33" s="19"/>
      <c r="R33" s="19"/>
      <c r="S33" s="19"/>
    </row>
    <row r="34" spans="1:21" s="11" customFormat="1" x14ac:dyDescent="0.2">
      <c r="A34" s="19" t="s">
        <v>18</v>
      </c>
      <c r="B34" s="21">
        <v>0</v>
      </c>
      <c r="C34" s="21">
        <v>0</v>
      </c>
      <c r="D34" s="21">
        <v>0</v>
      </c>
      <c r="E34" s="21">
        <v>0</v>
      </c>
      <c r="F34" s="21">
        <v>0</v>
      </c>
      <c r="G34" s="21">
        <v>0</v>
      </c>
      <c r="H34" s="21">
        <v>0</v>
      </c>
      <c r="I34" s="21">
        <v>0</v>
      </c>
      <c r="J34" s="21">
        <v>0</v>
      </c>
      <c r="K34" s="21">
        <v>0</v>
      </c>
      <c r="L34" s="21">
        <v>0</v>
      </c>
      <c r="M34" s="21"/>
      <c r="N34" s="21"/>
      <c r="O34" s="21"/>
      <c r="P34" s="21"/>
      <c r="Q34" s="21"/>
      <c r="R34" s="21"/>
      <c r="S34" s="21"/>
    </row>
    <row r="35" spans="1:21" s="20" customFormat="1" x14ac:dyDescent="0.2">
      <c r="A35" s="20" t="s">
        <v>17</v>
      </c>
      <c r="B35" s="20">
        <v>9.3070000000000022</v>
      </c>
      <c r="C35" s="20">
        <v>53.341000000000001</v>
      </c>
      <c r="D35" s="20">
        <v>103.979</v>
      </c>
      <c r="E35" s="20">
        <v>-60.637</v>
      </c>
      <c r="F35" s="20">
        <v>8.6300000000000008</v>
      </c>
      <c r="G35" s="20">
        <v>1.0640000000000001</v>
      </c>
      <c r="H35" s="20">
        <f>61.435-I35-J35-K35</f>
        <v>98.029999999999987</v>
      </c>
      <c r="I35" s="20">
        <v>-68.574999999999989</v>
      </c>
      <c r="J35" s="20">
        <v>18.073999999999998</v>
      </c>
      <c r="K35" s="20">
        <v>13.906000000000001</v>
      </c>
      <c r="L35" s="20">
        <v>142.625</v>
      </c>
    </row>
    <row r="36" spans="1:21" s="11" customFormat="1" x14ac:dyDescent="0.2">
      <c r="A36" s="19" t="s">
        <v>16</v>
      </c>
      <c r="B36" s="21">
        <v>-5.2799999999999994</v>
      </c>
      <c r="C36" s="21">
        <v>-9.468</v>
      </c>
      <c r="D36" s="21">
        <v>-4.7200000000000024</v>
      </c>
      <c r="E36" s="21">
        <v>-7.1749999999999989</v>
      </c>
      <c r="F36" s="21">
        <v>-4.6820000000000004</v>
      </c>
      <c r="G36" s="21">
        <v>-7.9589999999999996</v>
      </c>
      <c r="H36" s="21">
        <f>-33.09-I36-J36-K36</f>
        <v>-9.92</v>
      </c>
      <c r="I36" s="21">
        <v>-6.532</v>
      </c>
      <c r="J36" s="21">
        <v>-6.043000000000001</v>
      </c>
      <c r="K36" s="21">
        <v>-10.595000000000001</v>
      </c>
      <c r="L36" s="21">
        <v>-35.802</v>
      </c>
      <c r="M36" s="21"/>
      <c r="N36" s="21"/>
      <c r="O36" s="21"/>
      <c r="P36" s="21"/>
      <c r="Q36" s="21"/>
      <c r="R36" s="21"/>
      <c r="S36" s="21"/>
    </row>
    <row r="37" spans="1:21" s="20" customFormat="1" x14ac:dyDescent="0.2">
      <c r="A37" s="20" t="s">
        <v>15</v>
      </c>
      <c r="B37" s="124">
        <f t="shared" ref="B37:L37" si="20">B35+B36</f>
        <v>4.0270000000000028</v>
      </c>
      <c r="C37" s="124">
        <f t="shared" si="20"/>
        <v>43.873000000000005</v>
      </c>
      <c r="D37" s="124">
        <f t="shared" si="20"/>
        <v>99.259</v>
      </c>
      <c r="E37" s="124">
        <f t="shared" si="20"/>
        <v>-67.811999999999998</v>
      </c>
      <c r="F37" s="124">
        <f t="shared" si="20"/>
        <v>3.9480000000000004</v>
      </c>
      <c r="G37" s="124">
        <f t="shared" si="20"/>
        <v>-6.8949999999999996</v>
      </c>
      <c r="H37" s="124">
        <f t="shared" si="20"/>
        <v>88.109999999999985</v>
      </c>
      <c r="I37" s="124">
        <f t="shared" si="20"/>
        <v>-75.106999999999985</v>
      </c>
      <c r="J37" s="124">
        <f t="shared" si="20"/>
        <v>12.030999999999997</v>
      </c>
      <c r="K37" s="124">
        <f t="shared" si="20"/>
        <v>3.3109999999999999</v>
      </c>
      <c r="L37" s="124">
        <f t="shared" si="20"/>
        <v>106.82300000000001</v>
      </c>
      <c r="M37" s="78"/>
    </row>
    <row r="38" spans="1:21" x14ac:dyDescent="0.2">
      <c r="U38" s="69"/>
    </row>
    <row r="39" spans="1:21" s="16" customFormat="1" x14ac:dyDescent="0.2">
      <c r="A39" s="18" t="s">
        <v>14</v>
      </c>
      <c r="B39" s="19">
        <v>0</v>
      </c>
      <c r="C39" s="19">
        <v>0</v>
      </c>
      <c r="D39" s="19">
        <v>0</v>
      </c>
      <c r="E39" s="19">
        <v>30</v>
      </c>
      <c r="F39" s="19">
        <v>120</v>
      </c>
      <c r="G39" s="19">
        <v>120</v>
      </c>
      <c r="H39" s="19">
        <v>0</v>
      </c>
      <c r="I39" s="19">
        <v>50</v>
      </c>
      <c r="J39" s="19">
        <v>0</v>
      </c>
      <c r="K39" s="19">
        <v>0</v>
      </c>
      <c r="L39" s="19">
        <f>M39</f>
        <v>0</v>
      </c>
      <c r="M39" s="19">
        <v>0</v>
      </c>
      <c r="N39" s="19"/>
      <c r="O39" s="19"/>
      <c r="P39" s="19"/>
      <c r="Q39" s="19"/>
      <c r="R39" s="19"/>
      <c r="S39" s="19"/>
    </row>
    <row r="40" spans="1:21" s="16" customFormat="1" x14ac:dyDescent="0.2">
      <c r="A40" s="18" t="s">
        <v>13</v>
      </c>
      <c r="B40" s="19">
        <v>712.50300000000004</v>
      </c>
      <c r="C40" s="19">
        <v>723.09199999999998</v>
      </c>
      <c r="D40" s="19">
        <v>732.65599999999995</v>
      </c>
      <c r="E40" s="19">
        <v>742.06200000000001</v>
      </c>
      <c r="F40" s="19">
        <f>751.75+0.375</f>
        <v>752.125</v>
      </c>
      <c r="G40" s="19">
        <f>877.02-G39</f>
        <v>757.02</v>
      </c>
      <c r="H40" s="19">
        <f>761.437+0.48</f>
        <v>761.91700000000003</v>
      </c>
      <c r="I40" s="19">
        <f>766.281+0.464</f>
        <v>766.745</v>
      </c>
      <c r="J40" s="19">
        <f>771.125+0.348</f>
        <v>771.47299999999996</v>
      </c>
      <c r="K40" s="19">
        <f>773.063+0.295</f>
        <v>773.35799999999995</v>
      </c>
      <c r="L40" s="19">
        <f>M40</f>
        <v>750</v>
      </c>
      <c r="M40" s="19">
        <v>750</v>
      </c>
      <c r="N40" s="19"/>
      <c r="O40" s="19"/>
      <c r="P40" s="19"/>
      <c r="Q40" s="19"/>
      <c r="R40" s="19"/>
      <c r="S40" s="19"/>
    </row>
    <row r="41" spans="1:21" s="16" customFormat="1" x14ac:dyDescent="0.2">
      <c r="A41" s="18" t="s">
        <v>12</v>
      </c>
      <c r="B41" s="19">
        <f t="shared" ref="B41:K41" si="21">B39+B40+150</f>
        <v>862.50300000000004</v>
      </c>
      <c r="C41" s="19">
        <f t="shared" si="21"/>
        <v>873.09199999999998</v>
      </c>
      <c r="D41" s="19">
        <f t="shared" si="21"/>
        <v>882.65599999999995</v>
      </c>
      <c r="E41" s="19">
        <f t="shared" si="21"/>
        <v>922.06200000000001</v>
      </c>
      <c r="F41" s="19">
        <f t="shared" si="21"/>
        <v>1022.125</v>
      </c>
      <c r="G41" s="19">
        <f t="shared" si="21"/>
        <v>1027.02</v>
      </c>
      <c r="H41" s="19">
        <f t="shared" si="21"/>
        <v>911.91700000000003</v>
      </c>
      <c r="I41" s="19">
        <f t="shared" si="21"/>
        <v>966.745</v>
      </c>
      <c r="J41" s="19">
        <f t="shared" si="21"/>
        <v>921.47299999999996</v>
      </c>
      <c r="K41" s="19">
        <f t="shared" si="21"/>
        <v>923.35799999999995</v>
      </c>
      <c r="L41" s="19">
        <f>M41</f>
        <v>900</v>
      </c>
      <c r="M41" s="19">
        <f>M39+M40+150</f>
        <v>900</v>
      </c>
      <c r="N41" s="19"/>
      <c r="O41" s="19"/>
      <c r="P41" s="19"/>
      <c r="Q41" s="19"/>
      <c r="R41" s="19"/>
      <c r="S41" s="19"/>
    </row>
    <row r="42" spans="1:21" s="16" customFormat="1" x14ac:dyDescent="0.2">
      <c r="A42" s="18" t="s">
        <v>11</v>
      </c>
      <c r="B42" s="17">
        <v>246</v>
      </c>
      <c r="C42" s="17">
        <v>246</v>
      </c>
      <c r="D42" s="17">
        <v>246</v>
      </c>
      <c r="E42" s="17">
        <v>246</v>
      </c>
      <c r="F42" s="17">
        <v>246</v>
      </c>
      <c r="G42" s="17">
        <v>246</v>
      </c>
      <c r="H42" s="17">
        <v>246</v>
      </c>
      <c r="I42" s="17">
        <v>246</v>
      </c>
      <c r="J42" s="17">
        <v>246</v>
      </c>
      <c r="K42" s="17">
        <v>246</v>
      </c>
      <c r="L42" s="17">
        <f>M42</f>
        <v>246</v>
      </c>
      <c r="M42" s="17">
        <v>246</v>
      </c>
      <c r="N42" s="17"/>
      <c r="O42" s="17"/>
      <c r="P42" s="17"/>
      <c r="Q42" s="17"/>
      <c r="R42" s="17"/>
      <c r="S42" s="17"/>
    </row>
    <row r="43" spans="1:21" x14ac:dyDescent="0.2">
      <c r="B43" s="16"/>
      <c r="C43" s="16"/>
      <c r="D43" s="16"/>
      <c r="E43" s="16"/>
      <c r="F43" s="16"/>
      <c r="G43" s="16"/>
      <c r="H43" s="16"/>
      <c r="I43" s="16"/>
      <c r="J43" s="16"/>
      <c r="K43" s="16"/>
      <c r="L43" s="16"/>
      <c r="M43" s="16"/>
      <c r="N43" s="16"/>
      <c r="O43" s="16"/>
    </row>
    <row r="44" spans="1:21" x14ac:dyDescent="0.2">
      <c r="A44" s="15" t="s">
        <v>10</v>
      </c>
      <c r="B44" s="27">
        <v>35.401000000000003</v>
      </c>
      <c r="C44" s="27">
        <v>37.637999999999998</v>
      </c>
      <c r="D44" s="27">
        <v>3.1909999999999998</v>
      </c>
      <c r="E44" s="27">
        <v>3.673</v>
      </c>
      <c r="F44" s="27">
        <v>109.998</v>
      </c>
      <c r="G44" s="27">
        <v>109.241</v>
      </c>
      <c r="H44" s="27">
        <v>1.141</v>
      </c>
      <c r="I44" s="27">
        <v>5.6929999999999996</v>
      </c>
      <c r="J44" s="27">
        <v>49.317999999999998</v>
      </c>
      <c r="K44" s="27">
        <v>39.286000000000001</v>
      </c>
      <c r="L44" s="27">
        <f>M44</f>
        <v>0</v>
      </c>
      <c r="M44" s="27">
        <v>0</v>
      </c>
      <c r="N44" s="27"/>
      <c r="O44" s="27"/>
      <c r="P44" s="27"/>
      <c r="Q44" s="27"/>
      <c r="R44" s="27"/>
      <c r="S44" s="14"/>
    </row>
    <row r="46" spans="1:21" x14ac:dyDescent="0.2">
      <c r="A46" s="1" t="s">
        <v>9</v>
      </c>
      <c r="B46" s="13">
        <f t="shared" ref="B46:L46" si="22">SUM(B12:E12)</f>
        <v>696.68500000000006</v>
      </c>
      <c r="C46" s="13">
        <f t="shared" si="22"/>
        <v>698.61699999999996</v>
      </c>
      <c r="D46" s="13">
        <f t="shared" si="22"/>
        <v>686.53399999999999</v>
      </c>
      <c r="E46" s="13">
        <f t="shared" si="22"/>
        <v>716.1149999999999</v>
      </c>
      <c r="F46" s="13">
        <f t="shared" si="22"/>
        <v>700.37199999999996</v>
      </c>
      <c r="G46" s="13">
        <f t="shared" si="22"/>
        <v>749.47299999999996</v>
      </c>
      <c r="H46" s="13">
        <f t="shared" si="22"/>
        <v>762.85299999999995</v>
      </c>
      <c r="I46" s="13">
        <f t="shared" si="22"/>
        <v>754.70400000000006</v>
      </c>
      <c r="J46" s="13">
        <f t="shared" si="22"/>
        <v>759.27200000000005</v>
      </c>
      <c r="K46" s="13">
        <f t="shared" si="22"/>
        <v>772.12200000000007</v>
      </c>
      <c r="L46" s="13">
        <f t="shared" si="22"/>
        <v>775.03300000000002</v>
      </c>
      <c r="M46" s="12">
        <v>775</v>
      </c>
      <c r="N46" s="11"/>
      <c r="O46" s="11"/>
      <c r="P46" s="11"/>
      <c r="Q46" s="11"/>
    </row>
    <row r="47" spans="1:21" x14ac:dyDescent="0.2">
      <c r="A47" s="1" t="s">
        <v>8</v>
      </c>
      <c r="B47" s="13">
        <f t="shared" ref="B47" si="23">B27</f>
        <v>170.78199999999995</v>
      </c>
      <c r="C47" s="13">
        <f t="shared" ref="C47:D47" si="24">C27</f>
        <v>193.81299999999999</v>
      </c>
      <c r="D47" s="13">
        <f t="shared" si="24"/>
        <v>180.99099999999999</v>
      </c>
      <c r="E47" s="13">
        <f t="shared" ref="E47:F47" si="25">E27</f>
        <v>191.196</v>
      </c>
      <c r="F47" s="13">
        <f t="shared" si="25"/>
        <v>175.77700000000002</v>
      </c>
      <c r="G47" s="13">
        <f t="shared" ref="G47:L47" si="26">G27</f>
        <v>197.58199999999999</v>
      </c>
      <c r="H47" s="13">
        <f t="shared" si="26"/>
        <v>205.227</v>
      </c>
      <c r="I47" s="13">
        <f t="shared" si="26"/>
        <v>198.37199999999996</v>
      </c>
      <c r="J47" s="13">
        <f t="shared" si="26"/>
        <v>200.06199999999993</v>
      </c>
      <c r="K47" s="13">
        <f t="shared" si="26"/>
        <v>199.91999999999996</v>
      </c>
      <c r="L47" s="13">
        <f t="shared" si="26"/>
        <v>203.64699999999999</v>
      </c>
      <c r="M47" s="12">
        <v>201.4</v>
      </c>
      <c r="N47" s="11"/>
      <c r="O47" s="11"/>
      <c r="P47" s="11"/>
      <c r="Q47" s="11"/>
    </row>
    <row r="48" spans="1:21" x14ac:dyDescent="0.2">
      <c r="A48" s="1" t="s">
        <v>7</v>
      </c>
      <c r="B48" s="13">
        <f t="shared" ref="B48:I48" si="27">SUM(B37:E37)</f>
        <v>79.346999999999994</v>
      </c>
      <c r="C48" s="13">
        <f t="shared" si="27"/>
        <v>79.268000000000001</v>
      </c>
      <c r="D48" s="13">
        <f t="shared" si="27"/>
        <v>28.500000000000004</v>
      </c>
      <c r="E48" s="13">
        <f t="shared" si="27"/>
        <v>17.350999999999985</v>
      </c>
      <c r="F48" s="13">
        <f t="shared" si="27"/>
        <v>10.055999999999997</v>
      </c>
      <c r="G48" s="13">
        <f t="shared" si="27"/>
        <v>18.139000000000003</v>
      </c>
      <c r="H48" s="13">
        <f t="shared" si="27"/>
        <v>28.344999999999999</v>
      </c>
      <c r="I48" s="13">
        <f t="shared" si="27"/>
        <v>47.058000000000021</v>
      </c>
      <c r="J48" s="13">
        <f>J47*K48/K47</f>
        <v>61.585106472993502</v>
      </c>
      <c r="K48" s="13">
        <f>K47*L48/L47</f>
        <v>61.541394598078902</v>
      </c>
      <c r="L48" s="13">
        <f>L47*M48/M47</f>
        <v>62.688677399534697</v>
      </c>
      <c r="M48" s="12">
        <v>61.996983153526884</v>
      </c>
      <c r="N48" s="11"/>
      <c r="O48" s="11"/>
      <c r="P48" s="11"/>
      <c r="Q48" s="11"/>
    </row>
    <row r="50" spans="1:19" s="10" customFormat="1" x14ac:dyDescent="0.2">
      <c r="A50" s="10" t="s">
        <v>6</v>
      </c>
      <c r="B50" s="10">
        <f t="shared" ref="B50:C50" si="28">+SUM(B39:B40)/B47</f>
        <v>4.1720029042873383</v>
      </c>
      <c r="C50" s="10">
        <f t="shared" si="28"/>
        <v>3.7308746059345865</v>
      </c>
      <c r="D50" s="10">
        <f t="shared" ref="D50:E50" si="29">+SUM(D39:D40)/D47</f>
        <v>4.048024487405451</v>
      </c>
      <c r="E50" s="10">
        <f t="shared" si="29"/>
        <v>4.0380656499089937</v>
      </c>
      <c r="F50" s="10">
        <f t="shared" ref="F50:G50" si="30">+SUM(F39:F40)/F47</f>
        <v>4.9615421812865161</v>
      </c>
      <c r="G50" s="10">
        <f t="shared" si="30"/>
        <v>4.4387646647974011</v>
      </c>
      <c r="H50" s="10">
        <f t="shared" ref="H50:M50" si="31">+SUM(H39:H40)/H47</f>
        <v>3.7125573145833637</v>
      </c>
      <c r="I50" s="10">
        <f t="shared" si="31"/>
        <v>4.1172393281309869</v>
      </c>
      <c r="J50" s="10">
        <f t="shared" si="31"/>
        <v>3.8561695874278987</v>
      </c>
      <c r="K50" s="10">
        <f t="shared" si="31"/>
        <v>3.8683373349339742</v>
      </c>
      <c r="L50" s="10">
        <f t="shared" si="31"/>
        <v>3.6828433514856593</v>
      </c>
      <c r="M50" s="10">
        <f t="shared" si="31"/>
        <v>3.7239324726911618</v>
      </c>
    </row>
    <row r="51" spans="1:19" s="10" customFormat="1" x14ac:dyDescent="0.2">
      <c r="A51" s="10" t="s">
        <v>5</v>
      </c>
      <c r="B51" s="10">
        <f t="shared" ref="B51:C51" si="32">+B41/B47</f>
        <v>5.0503156070311874</v>
      </c>
      <c r="C51" s="10">
        <f t="shared" si="32"/>
        <v>4.504816498377302</v>
      </c>
      <c r="D51" s="10">
        <f t="shared" ref="D51:E51" si="33">+D41/D47</f>
        <v>4.87679497875585</v>
      </c>
      <c r="E51" s="10">
        <f t="shared" si="33"/>
        <v>4.8226008912320344</v>
      </c>
      <c r="F51" s="10">
        <f t="shared" ref="F51:G51" si="34">+F41/F47</f>
        <v>5.8148961468223934</v>
      </c>
      <c r="G51" s="10">
        <f t="shared" si="34"/>
        <v>5.1979431324715817</v>
      </c>
      <c r="H51" s="10">
        <f t="shared" ref="H51:M51" si="35">+H41/H47</f>
        <v>4.4434552958431395</v>
      </c>
      <c r="I51" s="10">
        <f t="shared" si="35"/>
        <v>4.8733944306656189</v>
      </c>
      <c r="J51" s="10">
        <f t="shared" si="35"/>
        <v>4.6059371594805629</v>
      </c>
      <c r="K51" s="10">
        <f t="shared" si="35"/>
        <v>4.6186374549819931</v>
      </c>
      <c r="L51" s="10">
        <f t="shared" si="35"/>
        <v>4.419412021782791</v>
      </c>
      <c r="M51" s="10">
        <f t="shared" si="35"/>
        <v>4.4687189672293943</v>
      </c>
    </row>
    <row r="52" spans="1:19" s="10" customFormat="1" x14ac:dyDescent="0.2">
      <c r="A52" s="10" t="s">
        <v>4</v>
      </c>
      <c r="B52" s="10">
        <f t="shared" ref="B52:C52" si="36">+(B41-B44)/B47</f>
        <v>4.8430279537656213</v>
      </c>
      <c r="C52" s="10">
        <f t="shared" si="36"/>
        <v>4.3106189987255759</v>
      </c>
      <c r="D52" s="10">
        <f t="shared" ref="D52:E52" si="37">+(D41-D44)/D47</f>
        <v>4.8591642678365226</v>
      </c>
      <c r="E52" s="10">
        <f t="shared" si="37"/>
        <v>4.803390238289504</v>
      </c>
      <c r="F52" s="10">
        <f t="shared" ref="F52:G52" si="38">+(F41-F44)/F47</f>
        <v>5.1891146168156235</v>
      </c>
      <c r="G52" s="10">
        <f t="shared" si="38"/>
        <v>4.645053699223614</v>
      </c>
      <c r="H52" s="10">
        <f t="shared" ref="H52:M52" si="39">+(H41-H44)/H47</f>
        <v>4.4378955985323572</v>
      </c>
      <c r="I52" s="10">
        <f t="shared" si="39"/>
        <v>4.8446958240074212</v>
      </c>
      <c r="J52" s="10">
        <f t="shared" si="39"/>
        <v>4.359423578690607</v>
      </c>
      <c r="K52" s="10">
        <f t="shared" si="39"/>
        <v>4.4221288515406165</v>
      </c>
      <c r="L52" s="10">
        <f t="shared" si="39"/>
        <v>4.419412021782791</v>
      </c>
      <c r="M52" s="10">
        <f t="shared" si="39"/>
        <v>4.4687189672293943</v>
      </c>
    </row>
    <row r="53" spans="1:19" s="6" customFormat="1" x14ac:dyDescent="0.2">
      <c r="A53" s="6" t="s">
        <v>3</v>
      </c>
      <c r="B53" s="6">
        <f t="shared" ref="B53:C53" si="40">+B48/B41</f>
        <v>9.1996201752341716E-2</v>
      </c>
      <c r="C53" s="6">
        <f t="shared" si="40"/>
        <v>9.0789974023356076E-2</v>
      </c>
      <c r="D53" s="6">
        <f t="shared" ref="D53:E53" si="41">+D48/D41</f>
        <v>3.2288909835768417E-2</v>
      </c>
      <c r="E53" s="6">
        <f t="shared" si="41"/>
        <v>1.8817606625151004E-2</v>
      </c>
      <c r="F53" s="6">
        <f t="shared" ref="F53:G53" si="42">+F48/F41</f>
        <v>9.8383270147975998E-3</v>
      </c>
      <c r="G53" s="6">
        <f t="shared" si="42"/>
        <v>1.7661778738486109E-2</v>
      </c>
      <c r="H53" s="6">
        <f t="shared" ref="H53:M53" si="43">+H48/H41</f>
        <v>3.1082872673719206E-2</v>
      </c>
      <c r="I53" s="6">
        <f t="shared" si="43"/>
        <v>4.8676745160305998E-2</v>
      </c>
      <c r="J53" s="6">
        <f t="shared" si="43"/>
        <v>6.6833327154451089E-2</v>
      </c>
      <c r="K53" s="6">
        <f t="shared" si="43"/>
        <v>6.6649549360138657E-2</v>
      </c>
      <c r="L53" s="6">
        <f t="shared" si="43"/>
        <v>6.9654085999483001E-2</v>
      </c>
      <c r="M53" s="6">
        <f t="shared" si="43"/>
        <v>6.8885536837252098E-2</v>
      </c>
    </row>
    <row r="54" spans="1:19" s="6" customFormat="1" x14ac:dyDescent="0.2">
      <c r="A54" s="8" t="s">
        <v>2</v>
      </c>
      <c r="B54" s="9"/>
      <c r="C54" s="9"/>
      <c r="D54" s="9"/>
      <c r="E54" s="9"/>
      <c r="F54" s="9"/>
      <c r="G54" s="9"/>
      <c r="H54" s="9"/>
      <c r="I54" s="9"/>
      <c r="J54" s="9"/>
      <c r="K54" s="9"/>
      <c r="L54" s="9"/>
      <c r="M54" s="9"/>
      <c r="N54" s="9"/>
      <c r="O54" s="9"/>
      <c r="P54" s="9"/>
      <c r="Q54" s="9"/>
      <c r="R54" s="8"/>
      <c r="S54" s="8"/>
    </row>
    <row r="55" spans="1:19" s="6" customFormat="1" x14ac:dyDescent="0.2">
      <c r="A55" s="6" t="s">
        <v>1</v>
      </c>
      <c r="B55" s="7">
        <f t="shared" ref="B55:C55" si="44">IF(B42=0,IF(B54="","","*"&amp;TEXT(B54,"0.0x")),(B41+B42-B44)/B47)</f>
        <v>6.2834607862655334</v>
      </c>
      <c r="C55" s="7">
        <f t="shared" si="44"/>
        <v>5.5798837023316299</v>
      </c>
      <c r="D55" s="7">
        <f t="shared" ref="D55:E55" si="45">IF(D42=0,IF(D54="","","*"&amp;TEXT(D54,"0.0x")),(D41+D42-D44)/D47)</f>
        <v>6.2183478736511759</v>
      </c>
      <c r="E55" s="7">
        <f t="shared" si="45"/>
        <v>6.0900280340592898</v>
      </c>
      <c r="F55" s="7">
        <f t="shared" ref="F55:G55" si="46">IF(F42=0,IF(F54="","","*"&amp;TEXT(F54,"0.0x")),(F41+F42-F44)/F47)</f>
        <v>6.5886151202944632</v>
      </c>
      <c r="G55" s="7">
        <f t="shared" si="46"/>
        <v>5.8901063862092702</v>
      </c>
      <c r="H55" s="7">
        <f t="shared" ref="H55:M55" si="47">IF(H42=0,IF(H54="","","*"&amp;TEXT(H54,"0.0x")),(H41+H42-H44)/H47)</f>
        <v>5.6365682877983883</v>
      </c>
      <c r="I55" s="7">
        <f t="shared" si="47"/>
        <v>6.0847901921642178</v>
      </c>
      <c r="J55" s="7">
        <f t="shared" si="47"/>
        <v>5.5890423968569767</v>
      </c>
      <c r="K55" s="7">
        <f t="shared" si="47"/>
        <v>5.652621048419368</v>
      </c>
      <c r="L55" s="7">
        <f t="shared" si="47"/>
        <v>5.627384641070087</v>
      </c>
      <c r="M55" s="7">
        <f t="shared" si="47"/>
        <v>5.6901688182720953</v>
      </c>
      <c r="N55" s="7"/>
      <c r="O55" s="7"/>
      <c r="P55" s="7"/>
      <c r="Q55" s="7"/>
      <c r="R55" s="7" t="str">
        <f t="shared" ref="R55:S55" si="48">IF(R42=0,IF(R54="","",CONCATENATE("* ",R54,"x")),(R41+R42-R44)/R47)</f>
        <v/>
      </c>
      <c r="S55" s="7" t="str">
        <f t="shared" si="48"/>
        <v/>
      </c>
    </row>
    <row r="56" spans="1:19" x14ac:dyDescent="0.2">
      <c r="Q56" s="3"/>
    </row>
    <row r="57" spans="1:19" ht="80.25" customHeight="1" x14ac:dyDescent="0.2">
      <c r="A57" s="5" t="s">
        <v>0</v>
      </c>
      <c r="B57" s="4" t="s">
        <v>104</v>
      </c>
      <c r="C57" s="4" t="s">
        <v>104</v>
      </c>
      <c r="D57" s="4" t="s">
        <v>104</v>
      </c>
      <c r="E57" s="4" t="s">
        <v>104</v>
      </c>
      <c r="F57" s="4" t="s">
        <v>104</v>
      </c>
      <c r="G57" s="4" t="s">
        <v>104</v>
      </c>
      <c r="H57" s="4" t="s">
        <v>235</v>
      </c>
      <c r="I57" s="4" t="s">
        <v>104</v>
      </c>
      <c r="J57" s="4" t="s">
        <v>104</v>
      </c>
      <c r="K57" s="4" t="s">
        <v>104</v>
      </c>
      <c r="L57" s="4"/>
      <c r="M57" s="4" t="s">
        <v>249</v>
      </c>
      <c r="N57" s="4"/>
      <c r="O57" s="4"/>
      <c r="P57" s="4"/>
      <c r="Q57" s="4"/>
      <c r="R57" s="4"/>
      <c r="S57" s="4"/>
    </row>
    <row r="58" spans="1:19" x14ac:dyDescent="0.2">
      <c r="A58" s="2"/>
      <c r="B58" s="3"/>
      <c r="C58" s="3"/>
      <c r="D58" s="3"/>
      <c r="E58" s="3"/>
      <c r="F58" s="3"/>
      <c r="G58" s="3"/>
      <c r="H58" s="3"/>
      <c r="I58" s="3"/>
      <c r="J58" s="3"/>
      <c r="K58" s="3"/>
      <c r="L58" s="3"/>
      <c r="M58" s="3"/>
    </row>
    <row r="59" spans="1:19" x14ac:dyDescent="0.2">
      <c r="A59" s="2"/>
    </row>
  </sheetData>
  <pageMargins left="0.7" right="0.7" top="0.75" bottom="0.75" header="0.3" footer="0.3"/>
  <pageSetup orientation="portrait" r:id="rId1"/>
  <ignoredErrors>
    <ignoredError sqref="K46:M54 I46:J46 C46:E49 B46" formulaRange="1"/>
  </ignoredErrors>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2:R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1" width="11.7109375" style="1" customWidth="1"/>
    <col min="12" max="18" width="10.7109375" style="1" customWidth="1"/>
    <col min="19" max="16384" width="9.140625" style="1"/>
  </cols>
  <sheetData>
    <row r="2" spans="1:18" x14ac:dyDescent="0.2">
      <c r="A2" s="34" t="s">
        <v>45</v>
      </c>
      <c r="B2" s="1" t="s">
        <v>336</v>
      </c>
    </row>
    <row r="3" spans="1:18" s="35" customFormat="1" x14ac:dyDescent="0.2">
      <c r="A3" s="36" t="s">
        <v>43</v>
      </c>
      <c r="B3" s="35" t="s">
        <v>263</v>
      </c>
    </row>
    <row r="4" spans="1:18" x14ac:dyDescent="0.2">
      <c r="A4" s="34" t="s">
        <v>41</v>
      </c>
      <c r="B4" s="1" t="s">
        <v>40</v>
      </c>
    </row>
    <row r="5" spans="1:18" x14ac:dyDescent="0.2">
      <c r="A5" s="34" t="s">
        <v>39</v>
      </c>
    </row>
    <row r="6" spans="1:18" x14ac:dyDescent="0.2">
      <c r="A6" s="34" t="s">
        <v>38</v>
      </c>
      <c r="B6" s="1">
        <v>3</v>
      </c>
    </row>
    <row r="7" spans="1:18" x14ac:dyDescent="0.2">
      <c r="A7" s="34" t="s">
        <v>37</v>
      </c>
      <c r="B7" s="1" t="s">
        <v>374</v>
      </c>
    </row>
    <row r="8" spans="1:18" x14ac:dyDescent="0.2">
      <c r="A8" s="34" t="s">
        <v>281</v>
      </c>
      <c r="B8" s="1" t="s">
        <v>287</v>
      </c>
    </row>
    <row r="9" spans="1:18" x14ac:dyDescent="0.2">
      <c r="A9" s="22"/>
    </row>
    <row r="10" spans="1:18"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f>EOMONTH(L10,-3)</f>
        <v>43281</v>
      </c>
      <c r="N10" s="33">
        <f t="shared" ref="N10:R10" si="0">EOMONTH(M10,-3)</f>
        <v>43190</v>
      </c>
      <c r="O10" s="33">
        <f t="shared" si="0"/>
        <v>43100</v>
      </c>
      <c r="P10" s="33">
        <f t="shared" si="0"/>
        <v>43008</v>
      </c>
      <c r="Q10" s="33">
        <f t="shared" si="0"/>
        <v>42916</v>
      </c>
      <c r="R10" s="33">
        <f t="shared" si="0"/>
        <v>42825</v>
      </c>
    </row>
    <row r="12" spans="1:18" x14ac:dyDescent="0.2">
      <c r="A12" s="15" t="s">
        <v>35</v>
      </c>
      <c r="B12" s="17">
        <v>49</v>
      </c>
      <c r="C12" s="17">
        <v>68.466999999999999</v>
      </c>
      <c r="D12" s="17">
        <v>36.213000000000008</v>
      </c>
      <c r="E12" s="17">
        <v>23.54</v>
      </c>
      <c r="F12" s="17">
        <v>53.322000000000003</v>
      </c>
      <c r="G12" s="17">
        <v>65.790000000000006</v>
      </c>
      <c r="H12" s="17">
        <v>36.982999999999997</v>
      </c>
      <c r="I12" s="17">
        <v>37.887999999999998</v>
      </c>
      <c r="J12" s="17">
        <v>34.463000000000001</v>
      </c>
      <c r="K12" s="17">
        <v>35.947000000000031</v>
      </c>
      <c r="L12" s="19">
        <v>36.380000000000003</v>
      </c>
      <c r="M12" s="19">
        <v>36.419999999999995</v>
      </c>
      <c r="N12" s="19">
        <v>30.457000000000001</v>
      </c>
      <c r="O12" s="19">
        <v>30.67300000000003</v>
      </c>
      <c r="P12" s="19">
        <v>33.606000000000002</v>
      </c>
      <c r="Q12" s="19">
        <v>26.297999999999998</v>
      </c>
      <c r="R12" s="19">
        <v>23.190999999999999</v>
      </c>
    </row>
    <row r="13" spans="1:18" s="28" customFormat="1" x14ac:dyDescent="0.2">
      <c r="A13" s="28" t="s">
        <v>34</v>
      </c>
      <c r="B13" s="28">
        <f t="shared" ref="B13:L13" si="1">+B12/F12-1</f>
        <v>-8.1054724128877487E-2</v>
      </c>
      <c r="C13" s="28">
        <f t="shared" si="1"/>
        <v>4.0690074479404093E-2</v>
      </c>
      <c r="D13" s="28">
        <f t="shared" si="1"/>
        <v>-2.0820376929940432E-2</v>
      </c>
      <c r="E13" s="28">
        <f t="shared" si="1"/>
        <v>-0.37869510135135132</v>
      </c>
      <c r="F13" s="28">
        <f t="shared" si="1"/>
        <v>0.54722455967269257</v>
      </c>
      <c r="G13" s="28">
        <f t="shared" si="1"/>
        <v>0.83019445294461147</v>
      </c>
      <c r="H13" s="28">
        <f t="shared" si="1"/>
        <v>1.6575041231445597E-2</v>
      </c>
      <c r="I13" s="28">
        <f t="shared" si="1"/>
        <v>4.0307523338824813E-2</v>
      </c>
      <c r="J13" s="28">
        <f t="shared" si="1"/>
        <v>0.13152969760646149</v>
      </c>
      <c r="K13" s="28">
        <f t="shared" si="1"/>
        <v>0.17194275095360734</v>
      </c>
      <c r="L13" s="28">
        <f t="shared" si="1"/>
        <v>8.2544783669582733E-2</v>
      </c>
      <c r="M13" s="28">
        <f t="shared" ref="M13:N13" si="2">+M12/Q12-1</f>
        <v>0.38489618982432106</v>
      </c>
      <c r="N13" s="28">
        <f t="shared" si="2"/>
        <v>0.31331119830968923</v>
      </c>
    </row>
    <row r="14" spans="1:18"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c r="P14" s="31"/>
      <c r="Q14" s="31"/>
      <c r="R14" s="31"/>
    </row>
    <row r="16" spans="1:18" s="22" customFormat="1" x14ac:dyDescent="0.2">
      <c r="A16" s="30" t="s">
        <v>31</v>
      </c>
      <c r="B16" s="29">
        <v>-4.9919999999999858</v>
      </c>
      <c r="C16" s="29">
        <v>-24.020000000000039</v>
      </c>
      <c r="D16" s="29">
        <v>0.90500000000000302</v>
      </c>
      <c r="E16" s="29">
        <v>-4.5590000000000037</v>
      </c>
      <c r="F16" s="29">
        <v>17.695000000000004</v>
      </c>
      <c r="G16" s="29">
        <v>35.260000000000005</v>
      </c>
      <c r="H16" s="29">
        <v>15.671999999999997</v>
      </c>
      <c r="I16" s="29">
        <v>16.911999999999999</v>
      </c>
      <c r="J16" s="29">
        <v>12.719000000000001</v>
      </c>
      <c r="K16" s="29">
        <v>13.529000000000046</v>
      </c>
      <c r="L16" s="29">
        <v>14.096</v>
      </c>
      <c r="M16" s="29">
        <v>15.151999999999989</v>
      </c>
      <c r="N16" s="29">
        <v>10.107000000000001</v>
      </c>
      <c r="O16" s="29">
        <v>4.9470000000000223</v>
      </c>
      <c r="P16" s="29">
        <v>11.088000000000001</v>
      </c>
      <c r="Q16" s="29">
        <v>10.065000000000001</v>
      </c>
      <c r="R16" s="29">
        <v>8.7579999999999991</v>
      </c>
    </row>
    <row r="17" spans="1:18" s="28" customFormat="1" x14ac:dyDescent="0.2">
      <c r="A17" s="28" t="s">
        <v>30</v>
      </c>
      <c r="B17" s="28">
        <f t="shared" ref="B17:C17" si="3">+B16/B12</f>
        <v>-0.10187755102040787</v>
      </c>
      <c r="C17" s="28">
        <f t="shared" si="3"/>
        <v>-0.35082594534593364</v>
      </c>
      <c r="D17" s="28">
        <f t="shared" ref="D17:F17" si="4">+D16/D12</f>
        <v>2.4991025322398112E-2</v>
      </c>
      <c r="E17" s="28">
        <f t="shared" si="4"/>
        <v>-0.1936703483432457</v>
      </c>
      <c r="F17" s="28">
        <f t="shared" si="4"/>
        <v>0.3318517685008065</v>
      </c>
      <c r="G17" s="28">
        <f t="shared" ref="G17:L17" si="5">+G16/G12</f>
        <v>0.53594771241830064</v>
      </c>
      <c r="H17" s="28">
        <f t="shared" si="5"/>
        <v>0.42376226915069082</v>
      </c>
      <c r="I17" s="28">
        <f t="shared" si="5"/>
        <v>0.44636824324324326</v>
      </c>
      <c r="J17" s="28">
        <f t="shared" si="5"/>
        <v>0.36906247279691268</v>
      </c>
      <c r="K17" s="28">
        <f t="shared" si="5"/>
        <v>0.37635964058196886</v>
      </c>
      <c r="L17" s="28">
        <f t="shared" si="5"/>
        <v>0.38746564046179216</v>
      </c>
      <c r="M17" s="28">
        <f t="shared" ref="M17:R17" si="6">+M16/M12</f>
        <v>0.41603514552443688</v>
      </c>
      <c r="N17" s="28">
        <f t="shared" si="6"/>
        <v>0.33184489608300227</v>
      </c>
      <c r="O17" s="28">
        <f t="shared" si="6"/>
        <v>0.16128190917093266</v>
      </c>
      <c r="P17" s="28">
        <f t="shared" si="6"/>
        <v>0.32994108194965188</v>
      </c>
      <c r="Q17" s="28">
        <f t="shared" si="6"/>
        <v>0.38272872461784174</v>
      </c>
      <c r="R17" s="28">
        <f t="shared" si="6"/>
        <v>0.37764650079772322</v>
      </c>
    </row>
    <row r="18" spans="1:18" s="23" customFormat="1" x14ac:dyDescent="0.2"/>
    <row r="19" spans="1:18"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row>
    <row r="20" spans="1:18"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row>
    <row r="21" spans="1:18" s="23" customFormat="1" x14ac:dyDescent="0.2">
      <c r="A21" s="15" t="s">
        <v>18</v>
      </c>
      <c r="B21" s="19">
        <f t="shared" ref="B21:C21" si="7">B22-B16-B19-B20</f>
        <v>7.0939999999999852</v>
      </c>
      <c r="C21" s="19">
        <f t="shared" si="7"/>
        <v>70.348000000000056</v>
      </c>
      <c r="D21" s="19">
        <f t="shared" ref="D21:F21" si="8">D22-D16-D19-D20</f>
        <v>0.41200000000000248</v>
      </c>
      <c r="E21" s="19">
        <f t="shared" si="8"/>
        <v>2.1250000000000036</v>
      </c>
      <c r="F21" s="19">
        <f t="shared" si="8"/>
        <v>10.40199999999999</v>
      </c>
      <c r="G21" s="19">
        <f t="shared" ref="G21:R21" si="9">G22-G16-G19-G20</f>
        <v>80.993999999999986</v>
      </c>
      <c r="H21" s="19">
        <f t="shared" si="9"/>
        <v>6.054000000000002</v>
      </c>
      <c r="I21" s="19">
        <f t="shared" si="9"/>
        <v>2.9499999999999993</v>
      </c>
      <c r="J21" s="19">
        <f t="shared" si="9"/>
        <v>2.7339999999999982</v>
      </c>
      <c r="K21" s="19">
        <f t="shared" si="9"/>
        <v>6.9889999999999404</v>
      </c>
      <c r="L21" s="19">
        <f t="shared" si="9"/>
        <v>3.7040000000000006</v>
      </c>
      <c r="M21" s="19">
        <f t="shared" si="9"/>
        <v>3.3290000000000131</v>
      </c>
      <c r="N21" s="19">
        <f t="shared" si="9"/>
        <v>0.24999999999999822</v>
      </c>
      <c r="O21" s="19">
        <f t="shared" si="9"/>
        <v>4.7750000000000004</v>
      </c>
      <c r="P21" s="19">
        <f t="shared" si="9"/>
        <v>0</v>
      </c>
      <c r="Q21" s="19">
        <f t="shared" si="9"/>
        <v>0</v>
      </c>
      <c r="R21" s="19">
        <f t="shared" si="9"/>
        <v>0</v>
      </c>
    </row>
    <row r="22" spans="1:18" s="22" customFormat="1" x14ac:dyDescent="0.2">
      <c r="A22" s="22" t="s">
        <v>23</v>
      </c>
      <c r="B22" s="61">
        <v>2.1019999999999994</v>
      </c>
      <c r="C22" s="61">
        <v>46.328000000000017</v>
      </c>
      <c r="D22" s="61">
        <v>1.3170000000000055</v>
      </c>
      <c r="E22" s="61">
        <v>-2.4340000000000002</v>
      </c>
      <c r="F22" s="61">
        <v>28.096999999999994</v>
      </c>
      <c r="G22" s="61">
        <v>116.25399999999999</v>
      </c>
      <c r="H22" s="61">
        <v>21.725999999999999</v>
      </c>
      <c r="I22" s="61">
        <v>19.861999999999998</v>
      </c>
      <c r="J22" s="61">
        <v>15.452999999999999</v>
      </c>
      <c r="K22" s="61">
        <v>20.517999999999986</v>
      </c>
      <c r="L22" s="61">
        <v>17.8</v>
      </c>
      <c r="M22" s="61">
        <v>18.481000000000002</v>
      </c>
      <c r="N22" s="61">
        <v>10.356999999999999</v>
      </c>
      <c r="O22" s="61">
        <v>9.7220000000000226</v>
      </c>
      <c r="P22" s="61">
        <v>11.088000000000001</v>
      </c>
      <c r="Q22" s="61">
        <v>10.065000000000001</v>
      </c>
      <c r="R22" s="61">
        <v>8.7579999999999991</v>
      </c>
    </row>
    <row r="23" spans="1:18" s="22" customFormat="1" x14ac:dyDescent="0.2">
      <c r="B23" s="20"/>
      <c r="C23" s="20"/>
      <c r="D23" s="20"/>
      <c r="E23" s="20"/>
      <c r="F23" s="20"/>
      <c r="G23" s="20"/>
      <c r="H23" s="20"/>
      <c r="I23" s="20"/>
      <c r="J23" s="20"/>
      <c r="K23" s="20"/>
      <c r="L23" s="20"/>
      <c r="M23" s="20"/>
      <c r="N23" s="20"/>
      <c r="O23" s="20"/>
      <c r="P23" s="20"/>
      <c r="Q23" s="20"/>
      <c r="R23" s="20"/>
    </row>
    <row r="24" spans="1:18" s="22" customFormat="1" x14ac:dyDescent="0.2">
      <c r="A24" s="22" t="s">
        <v>27</v>
      </c>
      <c r="B24" s="20">
        <f t="shared" ref="B24:L24" si="10">SUM(B22:E22)</f>
        <v>47.313000000000024</v>
      </c>
      <c r="C24" s="20">
        <f t="shared" si="10"/>
        <v>73.308000000000021</v>
      </c>
      <c r="D24" s="20">
        <f t="shared" si="10"/>
        <v>143.23399999999998</v>
      </c>
      <c r="E24" s="20">
        <f t="shared" si="10"/>
        <v>163.64299999999997</v>
      </c>
      <c r="F24" s="20">
        <f t="shared" si="10"/>
        <v>185.93899999999999</v>
      </c>
      <c r="G24" s="20">
        <f t="shared" si="10"/>
        <v>173.29499999999999</v>
      </c>
      <c r="H24" s="20">
        <f t="shared" si="10"/>
        <v>77.558999999999983</v>
      </c>
      <c r="I24" s="20">
        <f t="shared" si="10"/>
        <v>73.632999999999981</v>
      </c>
      <c r="J24" s="20">
        <f t="shared" si="10"/>
        <v>72.251999999999981</v>
      </c>
      <c r="K24" s="20">
        <f t="shared" si="10"/>
        <v>67.155999999999977</v>
      </c>
      <c r="L24" s="20">
        <f t="shared" si="10"/>
        <v>56.360000000000028</v>
      </c>
      <c r="M24" s="20">
        <f t="shared" ref="M24:O24" si="11">SUM(M22:P22)</f>
        <v>49.648000000000025</v>
      </c>
      <c r="N24" s="20">
        <f t="shared" si="11"/>
        <v>41.232000000000028</v>
      </c>
      <c r="O24" s="20">
        <f t="shared" si="11"/>
        <v>39.633000000000024</v>
      </c>
      <c r="P24" s="20"/>
      <c r="Q24" s="20"/>
      <c r="R24" s="20"/>
    </row>
    <row r="25" spans="1:18" s="23" customFormat="1" x14ac:dyDescent="0.2">
      <c r="A25" s="15" t="s">
        <v>26</v>
      </c>
      <c r="B25" s="27">
        <f>55.591-B24</f>
        <v>8.2779999999999774</v>
      </c>
      <c r="C25" s="27">
        <f>54.5-C24</f>
        <v>-18.808000000000021</v>
      </c>
      <c r="D25" s="27">
        <v>14.239000000000001</v>
      </c>
      <c r="E25" s="27">
        <v>23.683</v>
      </c>
      <c r="F25" s="27">
        <f>G25</f>
        <v>19.893999999999998</v>
      </c>
      <c r="G25" s="27">
        <f>19.894</f>
        <v>19.893999999999998</v>
      </c>
      <c r="H25" s="27">
        <v>19.3</v>
      </c>
      <c r="I25" s="27">
        <v>0</v>
      </c>
      <c r="J25" s="27">
        <v>0</v>
      </c>
      <c r="K25" s="27">
        <v>0</v>
      </c>
      <c r="L25" s="27">
        <v>0</v>
      </c>
      <c r="M25" s="27">
        <v>0</v>
      </c>
      <c r="N25" s="27">
        <v>0</v>
      </c>
      <c r="O25" s="27">
        <v>0</v>
      </c>
      <c r="P25" s="27"/>
      <c r="Q25" s="27"/>
      <c r="R25" s="27"/>
    </row>
    <row r="26" spans="1:18" s="23" customFormat="1" x14ac:dyDescent="0.2">
      <c r="A26" s="15" t="s">
        <v>25</v>
      </c>
      <c r="B26" s="21">
        <v>0</v>
      </c>
      <c r="C26" s="21">
        <v>0</v>
      </c>
      <c r="D26" s="21">
        <f>117.493-D25-D24</f>
        <v>-39.97999999999999</v>
      </c>
      <c r="E26" s="21">
        <f>155.826-E25-E24</f>
        <v>-31.499999999999972</v>
      </c>
      <c r="F26" s="21">
        <f>174.386-F25-F24</f>
        <v>-31.447000000000003</v>
      </c>
      <c r="G26" s="21">
        <f>173.294-G25-G24</f>
        <v>-19.894999999999982</v>
      </c>
      <c r="H26" s="21">
        <f>157.1-H25-H24</f>
        <v>60.241</v>
      </c>
      <c r="I26" s="21">
        <v>0</v>
      </c>
      <c r="J26" s="21">
        <v>0</v>
      </c>
      <c r="K26" s="21">
        <v>0</v>
      </c>
      <c r="L26" s="21">
        <v>0</v>
      </c>
      <c r="M26" s="21">
        <v>0</v>
      </c>
      <c r="N26" s="21">
        <v>0</v>
      </c>
      <c r="O26" s="21">
        <v>0</v>
      </c>
      <c r="P26" s="21"/>
      <c r="Q26" s="26"/>
      <c r="R26" s="26"/>
    </row>
    <row r="27" spans="1:18" s="24" customFormat="1" x14ac:dyDescent="0.2">
      <c r="A27" s="22" t="s">
        <v>24</v>
      </c>
      <c r="B27" s="20">
        <f t="shared" ref="B27" si="12">SUM(B24:B26)</f>
        <v>55.591000000000001</v>
      </c>
      <c r="C27" s="20">
        <f t="shared" ref="C27:D27" si="13">SUM(C24:C26)</f>
        <v>54.5</v>
      </c>
      <c r="D27" s="20">
        <f t="shared" si="13"/>
        <v>117.49299999999999</v>
      </c>
      <c r="E27" s="20">
        <f t="shared" ref="E27:L27" si="14">SUM(E24:E26)</f>
        <v>155.82599999999999</v>
      </c>
      <c r="F27" s="20">
        <f t="shared" si="14"/>
        <v>174.386</v>
      </c>
      <c r="G27" s="20">
        <f t="shared" si="14"/>
        <v>173.29400000000001</v>
      </c>
      <c r="H27" s="20">
        <f t="shared" si="14"/>
        <v>157.09999999999997</v>
      </c>
      <c r="I27" s="20">
        <f t="shared" si="14"/>
        <v>73.632999999999981</v>
      </c>
      <c r="J27" s="20">
        <f t="shared" si="14"/>
        <v>72.251999999999981</v>
      </c>
      <c r="K27" s="20">
        <f t="shared" si="14"/>
        <v>67.155999999999977</v>
      </c>
      <c r="L27" s="20">
        <f t="shared" si="14"/>
        <v>56.360000000000028</v>
      </c>
      <c r="M27" s="20">
        <f t="shared" ref="M27:O27" si="15">SUM(M24:M26)</f>
        <v>49.648000000000025</v>
      </c>
      <c r="N27" s="20">
        <f t="shared" si="15"/>
        <v>41.232000000000028</v>
      </c>
      <c r="O27" s="20">
        <f t="shared" si="15"/>
        <v>39.633000000000024</v>
      </c>
      <c r="P27" s="20"/>
      <c r="Q27" s="25"/>
      <c r="R27" s="25"/>
    </row>
    <row r="28" spans="1:18" s="23" customFormat="1" x14ac:dyDescent="0.2"/>
    <row r="29" spans="1:18" s="22" customFormat="1" x14ac:dyDescent="0.2">
      <c r="A29" s="22" t="s">
        <v>23</v>
      </c>
      <c r="B29" s="20">
        <f t="shared" ref="B29" si="16">B22</f>
        <v>2.1019999999999994</v>
      </c>
      <c r="C29" s="20">
        <f t="shared" ref="C29:D29" si="17">C22</f>
        <v>46.328000000000017</v>
      </c>
      <c r="D29" s="20">
        <f t="shared" si="17"/>
        <v>1.3170000000000055</v>
      </c>
      <c r="E29" s="20">
        <f t="shared" ref="E29:I29" si="18">E22</f>
        <v>-2.4340000000000002</v>
      </c>
      <c r="F29" s="20">
        <f t="shared" si="18"/>
        <v>28.096999999999994</v>
      </c>
      <c r="G29" s="20">
        <f t="shared" si="18"/>
        <v>116.25399999999999</v>
      </c>
      <c r="H29" s="20">
        <f t="shared" si="18"/>
        <v>21.725999999999999</v>
      </c>
      <c r="I29" s="20">
        <f t="shared" si="18"/>
        <v>19.861999999999998</v>
      </c>
      <c r="J29" s="20">
        <f t="shared" ref="J29:P29" si="19">J22</f>
        <v>15.452999999999999</v>
      </c>
      <c r="K29" s="20">
        <f t="shared" si="19"/>
        <v>20.517999999999986</v>
      </c>
      <c r="L29" s="20">
        <f t="shared" si="19"/>
        <v>17.8</v>
      </c>
      <c r="M29" s="20">
        <f t="shared" si="19"/>
        <v>18.481000000000002</v>
      </c>
      <c r="N29" s="20">
        <f t="shared" si="19"/>
        <v>10.356999999999999</v>
      </c>
      <c r="O29" s="20">
        <f t="shared" si="19"/>
        <v>9.7220000000000226</v>
      </c>
      <c r="P29" s="20">
        <f t="shared" si="19"/>
        <v>11.088000000000001</v>
      </c>
      <c r="Q29" s="20"/>
      <c r="R29" s="20"/>
    </row>
    <row r="30" spans="1:18" s="11" customFormat="1" x14ac:dyDescent="0.2">
      <c r="A30" s="19" t="s">
        <v>22</v>
      </c>
      <c r="B30" s="19">
        <v>-17.475999999999999</v>
      </c>
      <c r="C30" s="19">
        <v>-17.522999999999996</v>
      </c>
      <c r="D30" s="19">
        <v>-15.433999999999997</v>
      </c>
      <c r="E30" s="19">
        <v>-17.603000000000002</v>
      </c>
      <c r="F30" s="19">
        <v>-15.523</v>
      </c>
      <c r="G30" s="19">
        <v>-15.181000000000004</v>
      </c>
      <c r="H30" s="19">
        <v>-8.5679999999999996</v>
      </c>
      <c r="I30" s="19">
        <v>-7.766</v>
      </c>
      <c r="J30" s="19">
        <v>-14.984</v>
      </c>
      <c r="K30" s="19">
        <v>-5.6369999999999969</v>
      </c>
      <c r="L30" s="19">
        <v>-7.1050000000000022</v>
      </c>
      <c r="M30" s="19">
        <v>-6.0259999999999998</v>
      </c>
      <c r="N30" s="19">
        <v>-4.2279999999999998</v>
      </c>
      <c r="O30" s="19">
        <v>-4.1760000000000002</v>
      </c>
      <c r="P30" s="19">
        <v>-11.949</v>
      </c>
      <c r="Q30" s="19"/>
      <c r="R30" s="19"/>
    </row>
    <row r="31" spans="1:18" s="11" customFormat="1" x14ac:dyDescent="0.2">
      <c r="A31" s="19" t="s">
        <v>21</v>
      </c>
      <c r="B31" s="19">
        <v>-0.82099999999999995</v>
      </c>
      <c r="C31" s="19">
        <v>4.3499999999999996</v>
      </c>
      <c r="D31" s="19">
        <v>3.0499999999999989</v>
      </c>
      <c r="E31" s="19">
        <v>6.53</v>
      </c>
      <c r="F31" s="19">
        <v>5.79</v>
      </c>
      <c r="G31" s="19">
        <v>0.20199999999999999</v>
      </c>
      <c r="H31" s="19">
        <v>-0.29899999999999999</v>
      </c>
      <c r="I31" s="19">
        <v>-2.6379999999999999</v>
      </c>
      <c r="J31" s="19">
        <v>2.6379999999999999</v>
      </c>
      <c r="K31" s="19">
        <v>0.10699999999999987</v>
      </c>
      <c r="L31" s="19">
        <v>-0.35299999999999987</v>
      </c>
      <c r="M31" s="19">
        <v>-0.36100000000000004</v>
      </c>
      <c r="N31" s="19">
        <v>-0.311</v>
      </c>
      <c r="O31" s="19">
        <v>0</v>
      </c>
      <c r="P31" s="19">
        <v>0</v>
      </c>
      <c r="Q31" s="19"/>
      <c r="R31" s="19"/>
    </row>
    <row r="32" spans="1:18" s="11" customFormat="1" x14ac:dyDescent="0.2">
      <c r="A32" s="19" t="s">
        <v>20</v>
      </c>
      <c r="B32" s="19">
        <v>-10.656000000000001</v>
      </c>
      <c r="C32" s="19">
        <v>10.535</v>
      </c>
      <c r="D32" s="19">
        <v>-25.611000000000001</v>
      </c>
      <c r="E32" s="19">
        <v>16.669</v>
      </c>
      <c r="F32" s="19">
        <f>-1.075+17.184-21.405+0.052-0.072-5.955</f>
        <v>-11.271000000000001</v>
      </c>
      <c r="G32" s="19">
        <v>-14.652000000000001</v>
      </c>
      <c r="H32" s="19">
        <f>2.786-2.278-0.086-0.036</f>
        <v>0.38600000000000007</v>
      </c>
      <c r="I32" s="19">
        <v>3.4830000000000001</v>
      </c>
      <c r="J32" s="19">
        <f>-1.899+5.66-8.299+0.08-4.95-0.001</f>
        <v>-9.4089999999999989</v>
      </c>
      <c r="K32" s="19">
        <v>-2.9350000000000005</v>
      </c>
      <c r="L32" s="19">
        <f>-0.634+4.395-0.11+0.163</f>
        <v>3.8139999999999996</v>
      </c>
      <c r="M32" s="19">
        <v>-3.6409999999999991</v>
      </c>
      <c r="N32" s="19">
        <v>-6.3380000000000001</v>
      </c>
      <c r="O32" s="19">
        <v>1.6999999999995907E-2</v>
      </c>
      <c r="P32" s="19">
        <v>-17.290999999999997</v>
      </c>
      <c r="Q32" s="19"/>
      <c r="R32" s="19"/>
    </row>
    <row r="33" spans="1:18"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c r="Q33" s="19"/>
      <c r="R33" s="19"/>
    </row>
    <row r="34" spans="1:18"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c r="Q34" s="21"/>
      <c r="R34" s="21"/>
    </row>
    <row r="35" spans="1:18" s="20" customFormat="1" x14ac:dyDescent="0.2">
      <c r="A35" s="20" t="s">
        <v>17</v>
      </c>
      <c r="B35" s="20">
        <v>-30.456</v>
      </c>
      <c r="C35" s="20">
        <v>-13.510999999999996</v>
      </c>
      <c r="D35" s="20">
        <v>-31.338000000000001</v>
      </c>
      <c r="E35" s="20">
        <v>-2.8210000000000015</v>
      </c>
      <c r="F35" s="20">
        <v>-16.838999999999999</v>
      </c>
      <c r="G35" s="20">
        <v>-24.603000000000005</v>
      </c>
      <c r="H35" s="20">
        <v>5.53</v>
      </c>
      <c r="I35" s="20">
        <v>7.7210000000000001</v>
      </c>
      <c r="J35" s="20">
        <v>-27.5</v>
      </c>
      <c r="K35" s="20">
        <v>5.4700000000000006</v>
      </c>
      <c r="L35" s="20">
        <v>10.741</v>
      </c>
      <c r="M35" s="20">
        <v>2.16</v>
      </c>
      <c r="N35" s="20">
        <v>-2.4039999999999999</v>
      </c>
      <c r="O35" s="20">
        <v>5.5519999999999996</v>
      </c>
      <c r="P35" s="20">
        <v>-1.1879999999999999</v>
      </c>
    </row>
    <row r="36" spans="1:18" s="11" customFormat="1" x14ac:dyDescent="0.2">
      <c r="A36" s="19" t="s">
        <v>16</v>
      </c>
      <c r="B36" s="21">
        <v>-1.62</v>
      </c>
      <c r="C36" s="21">
        <v>-5.2490000000000006</v>
      </c>
      <c r="D36" s="21">
        <v>-0.53300000000000003</v>
      </c>
      <c r="E36" s="21">
        <v>-0.76500000000000012</v>
      </c>
      <c r="F36" s="21">
        <v>-1.2789999999999999</v>
      </c>
      <c r="G36" s="21">
        <v>-1.7450000000000001</v>
      </c>
      <c r="H36" s="21">
        <v>-1.319</v>
      </c>
      <c r="I36" s="21">
        <v>-2.1480000000000001</v>
      </c>
      <c r="J36" s="21">
        <v>-0.88900000000000001</v>
      </c>
      <c r="K36" s="21">
        <v>-3.516</v>
      </c>
      <c r="L36" s="21">
        <v>-0.46500000000000008</v>
      </c>
      <c r="M36" s="21">
        <v>-0.70699999999999985</v>
      </c>
      <c r="N36" s="21">
        <v>-0.33400000000000002</v>
      </c>
      <c r="O36" s="21">
        <v>-1.202</v>
      </c>
      <c r="P36" s="21">
        <v>-2.6960000000000002</v>
      </c>
      <c r="Q36" s="21"/>
      <c r="R36" s="21"/>
    </row>
    <row r="37" spans="1:18" s="20" customFormat="1" x14ac:dyDescent="0.2">
      <c r="A37" s="20" t="s">
        <v>15</v>
      </c>
      <c r="B37" s="20">
        <f t="shared" ref="B37:L37" si="20">+B35+B36</f>
        <v>-32.076000000000001</v>
      </c>
      <c r="C37" s="20">
        <f t="shared" si="20"/>
        <v>-18.759999999999998</v>
      </c>
      <c r="D37" s="20">
        <f t="shared" si="20"/>
        <v>-31.871000000000002</v>
      </c>
      <c r="E37" s="20">
        <f t="shared" si="20"/>
        <v>-3.5860000000000016</v>
      </c>
      <c r="F37" s="20">
        <f t="shared" si="20"/>
        <v>-18.117999999999999</v>
      </c>
      <c r="G37" s="20">
        <f t="shared" si="20"/>
        <v>-26.348000000000006</v>
      </c>
      <c r="H37" s="20">
        <f t="shared" si="20"/>
        <v>4.2110000000000003</v>
      </c>
      <c r="I37" s="20">
        <f t="shared" si="20"/>
        <v>5.5730000000000004</v>
      </c>
      <c r="J37" s="20">
        <f t="shared" si="20"/>
        <v>-28.388999999999999</v>
      </c>
      <c r="K37" s="20">
        <f t="shared" si="20"/>
        <v>1.9540000000000006</v>
      </c>
      <c r="L37" s="20">
        <f t="shared" si="20"/>
        <v>10.276</v>
      </c>
      <c r="M37" s="20">
        <f t="shared" ref="M37:P37" si="21">+M35+M36</f>
        <v>1.4530000000000003</v>
      </c>
      <c r="N37" s="20">
        <f t="shared" si="21"/>
        <v>-2.738</v>
      </c>
      <c r="O37" s="20">
        <f t="shared" si="21"/>
        <v>4.3499999999999996</v>
      </c>
      <c r="P37" s="20">
        <f t="shared" si="21"/>
        <v>-3.8840000000000003</v>
      </c>
    </row>
    <row r="39" spans="1:18" s="16" customFormat="1" x14ac:dyDescent="0.2">
      <c r="A39" s="18" t="s">
        <v>14</v>
      </c>
      <c r="B39" s="19">
        <v>0</v>
      </c>
      <c r="C39" s="19">
        <v>0</v>
      </c>
      <c r="D39" s="19">
        <v>0</v>
      </c>
      <c r="E39" s="19">
        <v>0</v>
      </c>
      <c r="F39" s="19">
        <v>120</v>
      </c>
      <c r="G39" s="19">
        <v>0</v>
      </c>
      <c r="H39" s="19">
        <v>0</v>
      </c>
      <c r="I39" s="19">
        <v>0</v>
      </c>
      <c r="J39" s="19">
        <v>0</v>
      </c>
      <c r="K39" s="19">
        <v>0</v>
      </c>
      <c r="L39" s="19">
        <v>0</v>
      </c>
      <c r="M39" s="19">
        <v>0</v>
      </c>
      <c r="N39" s="19">
        <v>0</v>
      </c>
      <c r="O39" s="19"/>
      <c r="P39" s="19"/>
      <c r="Q39" s="19"/>
      <c r="R39" s="19"/>
    </row>
    <row r="40" spans="1:18" s="16" customFormat="1" x14ac:dyDescent="0.2">
      <c r="A40" s="18" t="s">
        <v>13</v>
      </c>
      <c r="B40" s="19">
        <v>982.07600000000002</v>
      </c>
      <c r="C40" s="19">
        <v>984.56299999999999</v>
      </c>
      <c r="D40" s="19">
        <v>939</v>
      </c>
      <c r="E40" s="19">
        <f>789+150</f>
        <v>939</v>
      </c>
      <c r="F40" s="19">
        <v>768.01199999999994</v>
      </c>
      <c r="G40" s="19">
        <v>770</v>
      </c>
      <c r="H40" s="19">
        <v>770</v>
      </c>
      <c r="I40" s="19">
        <v>369.07499999999999</v>
      </c>
      <c r="J40" s="19">
        <v>370</v>
      </c>
      <c r="K40" s="19">
        <v>370</v>
      </c>
      <c r="L40" s="19">
        <v>358.50099999999998</v>
      </c>
      <c r="M40" s="19">
        <v>360.81399999999996</v>
      </c>
      <c r="N40" s="19">
        <v>220.44200000000001</v>
      </c>
      <c r="O40" s="19"/>
      <c r="P40" s="19"/>
      <c r="Q40" s="19"/>
      <c r="R40" s="19"/>
    </row>
    <row r="41" spans="1:18" s="16" customFormat="1" x14ac:dyDescent="0.2">
      <c r="A41" s="18" t="s">
        <v>12</v>
      </c>
      <c r="B41" s="19">
        <f>B39+B40+160</f>
        <v>1142.076</v>
      </c>
      <c r="C41" s="19">
        <f>C39+C40+160</f>
        <v>1144.5630000000001</v>
      </c>
      <c r="D41" s="19">
        <f>D39+D40+185</f>
        <v>1124</v>
      </c>
      <c r="E41" s="19">
        <f>E39+E40+160</f>
        <v>1099</v>
      </c>
      <c r="F41" s="19">
        <f>F39+F40+185</f>
        <v>1073.0119999999999</v>
      </c>
      <c r="G41" s="19">
        <f>G39+G40+185</f>
        <v>955</v>
      </c>
      <c r="H41" s="19">
        <f>H39+H40+185</f>
        <v>955</v>
      </c>
      <c r="I41" s="19">
        <f>I39+I40+85</f>
        <v>454.07499999999999</v>
      </c>
      <c r="J41" s="19">
        <f>J39+J40+85</f>
        <v>455</v>
      </c>
      <c r="K41" s="19">
        <f>K39+K40+85</f>
        <v>455</v>
      </c>
      <c r="L41" s="19">
        <f>L39+L40</f>
        <v>358.50099999999998</v>
      </c>
      <c r="M41" s="19">
        <f>M39+M40</f>
        <v>360.81399999999996</v>
      </c>
      <c r="N41" s="19">
        <f>N39+N40</f>
        <v>220.44200000000001</v>
      </c>
      <c r="O41" s="19"/>
      <c r="P41" s="19"/>
      <c r="Q41" s="19"/>
      <c r="R41" s="19"/>
    </row>
    <row r="42" spans="1:18" s="16" customFormat="1" x14ac:dyDescent="0.2">
      <c r="A42" s="18" t="s">
        <v>11</v>
      </c>
      <c r="B42" s="17">
        <v>645</v>
      </c>
      <c r="C42" s="17">
        <v>645</v>
      </c>
      <c r="D42" s="17">
        <v>645</v>
      </c>
      <c r="E42" s="17">
        <v>645</v>
      </c>
      <c r="F42" s="17">
        <v>647</v>
      </c>
      <c r="G42" s="17">
        <v>647</v>
      </c>
      <c r="H42" s="17">
        <v>647</v>
      </c>
      <c r="I42" s="17">
        <v>341</v>
      </c>
      <c r="J42" s="17">
        <v>341</v>
      </c>
      <c r="K42" s="17">
        <f>48+293</f>
        <v>341</v>
      </c>
      <c r="L42" s="17"/>
      <c r="M42" s="17"/>
      <c r="N42" s="17"/>
      <c r="O42" s="17"/>
      <c r="P42" s="17"/>
      <c r="Q42" s="17"/>
      <c r="R42" s="17"/>
    </row>
    <row r="43" spans="1:18" x14ac:dyDescent="0.2">
      <c r="B43" s="16"/>
      <c r="C43" s="16"/>
      <c r="D43" s="16"/>
      <c r="E43" s="16"/>
      <c r="F43" s="16"/>
      <c r="G43" s="16"/>
      <c r="H43" s="16"/>
      <c r="I43" s="16"/>
      <c r="J43" s="16"/>
      <c r="K43" s="16"/>
      <c r="L43" s="16"/>
      <c r="M43" s="16"/>
      <c r="N43" s="16"/>
    </row>
    <row r="44" spans="1:18" x14ac:dyDescent="0.2">
      <c r="A44" s="15" t="s">
        <v>10</v>
      </c>
      <c r="B44" s="27">
        <v>97.417000000000002</v>
      </c>
      <c r="C44" s="27">
        <v>130.16399999999999</v>
      </c>
      <c r="D44" s="27">
        <v>100</v>
      </c>
      <c r="E44" s="27">
        <v>100</v>
      </c>
      <c r="F44" s="27">
        <v>115.86499999999999</v>
      </c>
      <c r="G44" s="27">
        <v>26.882999999999999</v>
      </c>
      <c r="H44" s="27">
        <v>10</v>
      </c>
      <c r="I44" s="27">
        <v>12.862</v>
      </c>
      <c r="J44" s="27">
        <v>9.5180000000000007</v>
      </c>
      <c r="K44" s="27">
        <v>5</v>
      </c>
      <c r="L44" s="27">
        <v>16.702999999999999</v>
      </c>
      <c r="M44" s="27">
        <v>10.353999999999999</v>
      </c>
      <c r="N44" s="27">
        <v>10.073</v>
      </c>
      <c r="O44" s="27"/>
      <c r="P44" s="27"/>
      <c r="Q44" s="27"/>
      <c r="R44" s="14"/>
    </row>
    <row r="45" spans="1:18" x14ac:dyDescent="0.2">
      <c r="B45" s="56"/>
      <c r="C45" s="56"/>
      <c r="D45" s="56"/>
    </row>
    <row r="46" spans="1:18" x14ac:dyDescent="0.2">
      <c r="A46" s="1" t="s">
        <v>9</v>
      </c>
      <c r="B46" s="11">
        <f t="shared" ref="B46:L46" si="22">SUM(B12:E12)</f>
        <v>177.22</v>
      </c>
      <c r="C46" s="11">
        <f t="shared" si="22"/>
        <v>181.542</v>
      </c>
      <c r="D46" s="11">
        <f t="shared" si="22"/>
        <v>178.86500000000001</v>
      </c>
      <c r="E46" s="11">
        <f t="shared" si="22"/>
        <v>179.63499999999999</v>
      </c>
      <c r="F46" s="11">
        <f t="shared" si="22"/>
        <v>193.983</v>
      </c>
      <c r="G46" s="11">
        <f t="shared" si="22"/>
        <v>175.124</v>
      </c>
      <c r="H46" s="11">
        <f t="shared" si="22"/>
        <v>145.28100000000003</v>
      </c>
      <c r="I46" s="11">
        <f t="shared" si="22"/>
        <v>144.67800000000003</v>
      </c>
      <c r="J46" s="11">
        <f t="shared" si="22"/>
        <v>143.21</v>
      </c>
      <c r="K46" s="11">
        <f t="shared" si="22"/>
        <v>139.20400000000001</v>
      </c>
      <c r="L46" s="11">
        <f t="shared" si="22"/>
        <v>133.93000000000004</v>
      </c>
      <c r="M46" s="11">
        <f t="shared" ref="M46:N46" si="23">SUM(M12:P12)</f>
        <v>131.15600000000003</v>
      </c>
      <c r="N46" s="11">
        <f t="shared" si="23"/>
        <v>121.03400000000003</v>
      </c>
      <c r="O46" s="11"/>
      <c r="P46" s="11"/>
    </row>
    <row r="47" spans="1:18" x14ac:dyDescent="0.2">
      <c r="A47" s="1" t="s">
        <v>8</v>
      </c>
      <c r="B47" s="11">
        <f t="shared" ref="B47" si="24">+B27</f>
        <v>55.591000000000001</v>
      </c>
      <c r="C47" s="11">
        <f t="shared" ref="C47:D47" si="25">+C27</f>
        <v>54.5</v>
      </c>
      <c r="D47" s="11">
        <f t="shared" si="25"/>
        <v>117.49299999999999</v>
      </c>
      <c r="E47" s="11">
        <f t="shared" ref="E47:F47" si="26">+E27</f>
        <v>155.82599999999999</v>
      </c>
      <c r="F47" s="11">
        <f t="shared" si="26"/>
        <v>174.386</v>
      </c>
      <c r="G47" s="11">
        <f t="shared" ref="G47:H47" si="27">+G27</f>
        <v>173.29400000000001</v>
      </c>
      <c r="H47" s="11">
        <f t="shared" si="27"/>
        <v>157.09999999999997</v>
      </c>
      <c r="I47" s="11">
        <f t="shared" ref="I47:N47" si="28">+I27</f>
        <v>73.632999999999981</v>
      </c>
      <c r="J47" s="11">
        <f t="shared" si="28"/>
        <v>72.251999999999981</v>
      </c>
      <c r="K47" s="11">
        <f t="shared" si="28"/>
        <v>67.155999999999977</v>
      </c>
      <c r="L47" s="11">
        <f t="shared" si="28"/>
        <v>56.360000000000028</v>
      </c>
      <c r="M47" s="11">
        <f t="shared" si="28"/>
        <v>49.648000000000025</v>
      </c>
      <c r="N47" s="11">
        <f t="shared" si="28"/>
        <v>41.232000000000028</v>
      </c>
      <c r="O47" s="11"/>
      <c r="P47" s="11"/>
    </row>
    <row r="48" spans="1:18" x14ac:dyDescent="0.2">
      <c r="A48" s="1" t="s">
        <v>7</v>
      </c>
      <c r="B48" s="11">
        <f t="shared" ref="B48:M48" si="29">+SUM(B37:E37)</f>
        <v>-86.292999999999992</v>
      </c>
      <c r="C48" s="11">
        <f t="shared" si="29"/>
        <v>-72.334999999999994</v>
      </c>
      <c r="D48" s="11">
        <f t="shared" si="29"/>
        <v>-79.923000000000002</v>
      </c>
      <c r="E48" s="11">
        <f t="shared" si="29"/>
        <v>-43.841000000000008</v>
      </c>
      <c r="F48" s="11">
        <f t="shared" si="29"/>
        <v>-34.682000000000009</v>
      </c>
      <c r="G48" s="11">
        <f t="shared" si="29"/>
        <v>-44.953000000000003</v>
      </c>
      <c r="H48" s="11">
        <f t="shared" si="29"/>
        <v>-16.650999999999996</v>
      </c>
      <c r="I48" s="11">
        <f t="shared" si="29"/>
        <v>-10.585999999999999</v>
      </c>
      <c r="J48" s="11">
        <f t="shared" si="29"/>
        <v>-14.706</v>
      </c>
      <c r="K48" s="11">
        <f t="shared" si="29"/>
        <v>10.945</v>
      </c>
      <c r="L48" s="11">
        <f t="shared" si="29"/>
        <v>13.340999999999999</v>
      </c>
      <c r="M48" s="11">
        <f t="shared" si="29"/>
        <v>-0.81900000000000039</v>
      </c>
      <c r="N48" s="11"/>
      <c r="O48" s="11"/>
      <c r="P48" s="11"/>
    </row>
    <row r="50" spans="1:18" s="10" customFormat="1" x14ac:dyDescent="0.2">
      <c r="A50" s="10" t="s">
        <v>6</v>
      </c>
      <c r="B50" s="10">
        <f t="shared" ref="B50" si="30">+SUM(B39:B40)/B47</f>
        <v>17.6660970300948</v>
      </c>
      <c r="C50" s="10">
        <f t="shared" ref="C50:D50" si="31">+SUM(C39:C40)/C47</f>
        <v>18.065376146788992</v>
      </c>
      <c r="D50" s="10">
        <f t="shared" si="31"/>
        <v>7.9919654787944818</v>
      </c>
      <c r="E50" s="10">
        <f t="shared" ref="E50:F50" si="32">+SUM(E39:E40)/E47</f>
        <v>6.0259520234107278</v>
      </c>
      <c r="F50" s="10">
        <f t="shared" si="32"/>
        <v>5.0922207057906022</v>
      </c>
      <c r="G50" s="10">
        <f t="shared" ref="G50:L50" si="33">+SUM(G39:G40)/G47</f>
        <v>4.4433159832423508</v>
      </c>
      <c r="H50" s="10">
        <f t="shared" si="33"/>
        <v>4.9013367281986007</v>
      </c>
      <c r="I50" s="10">
        <f t="shared" si="33"/>
        <v>5.0123585892195086</v>
      </c>
      <c r="J50" s="10">
        <f t="shared" si="33"/>
        <v>5.1209655096052717</v>
      </c>
      <c r="K50" s="10">
        <f t="shared" si="33"/>
        <v>5.5095598308416243</v>
      </c>
      <c r="L50" s="10">
        <f t="shared" si="33"/>
        <v>6.360911994322211</v>
      </c>
      <c r="M50" s="10">
        <f t="shared" ref="M50:N50" si="34">+SUM(M39:M40)/M47</f>
        <v>7.2674427972929383</v>
      </c>
      <c r="N50" s="10">
        <f t="shared" si="34"/>
        <v>5.3463814512999575</v>
      </c>
    </row>
    <row r="51" spans="1:18" s="10" customFormat="1" x14ac:dyDescent="0.2">
      <c r="A51" s="10" t="s">
        <v>5</v>
      </c>
      <c r="B51" s="10">
        <f t="shared" ref="B51" si="35">+B41/B47</f>
        <v>20.544260761634078</v>
      </c>
      <c r="C51" s="10">
        <f t="shared" ref="C51:D51" si="36">+C41/C47</f>
        <v>21.001155963302754</v>
      </c>
      <c r="D51" s="10">
        <f t="shared" si="36"/>
        <v>9.5665273675878559</v>
      </c>
      <c r="E51" s="10">
        <f t="shared" ref="E51:F51" si="37">+E41/E47</f>
        <v>7.0527383106798611</v>
      </c>
      <c r="F51" s="10">
        <f t="shared" si="37"/>
        <v>6.1530856834837655</v>
      </c>
      <c r="G51" s="10">
        <f t="shared" ref="G51:L51" si="38">+G41/G47</f>
        <v>5.5108659272681102</v>
      </c>
      <c r="H51" s="10">
        <f t="shared" si="38"/>
        <v>6.078930617441122</v>
      </c>
      <c r="I51" s="10">
        <f t="shared" si="38"/>
        <v>6.1667323075251597</v>
      </c>
      <c r="J51" s="10">
        <f t="shared" si="38"/>
        <v>6.2974035320821589</v>
      </c>
      <c r="K51" s="10">
        <f t="shared" si="38"/>
        <v>6.775269521710646</v>
      </c>
      <c r="L51" s="10">
        <f t="shared" si="38"/>
        <v>6.360911994322211</v>
      </c>
      <c r="M51" s="10">
        <f t="shared" ref="M51:N51" si="39">+M41/M47</f>
        <v>7.2674427972929383</v>
      </c>
      <c r="N51" s="10">
        <f t="shared" si="39"/>
        <v>5.3463814512999575</v>
      </c>
    </row>
    <row r="52" spans="1:18" s="10" customFormat="1" x14ac:dyDescent="0.2">
      <c r="A52" s="10" t="s">
        <v>4</v>
      </c>
      <c r="B52" s="10">
        <f t="shared" ref="B52" si="40">+(B41-B44)/B47</f>
        <v>18.791872785163068</v>
      </c>
      <c r="C52" s="10">
        <f t="shared" ref="C52:D52" si="41">+(C41-C44)/C47</f>
        <v>18.612825688073396</v>
      </c>
      <c r="D52" s="10">
        <f t="shared" si="41"/>
        <v>8.715412833104951</v>
      </c>
      <c r="E52" s="10">
        <f t="shared" ref="E52:F52" si="42">+(E41-E44)/E47</f>
        <v>6.4109968811366524</v>
      </c>
      <c r="F52" s="10">
        <f t="shared" si="42"/>
        <v>5.4886688151571796</v>
      </c>
      <c r="G52" s="10">
        <f t="shared" ref="G52:L52" si="43">+(G41-G44)/G47</f>
        <v>5.3557364940505723</v>
      </c>
      <c r="H52" s="10">
        <f t="shared" si="43"/>
        <v>6.0152768936982826</v>
      </c>
      <c r="I52" s="10">
        <f t="shared" si="43"/>
        <v>5.9920551926446031</v>
      </c>
      <c r="J52" s="10">
        <f t="shared" si="43"/>
        <v>6.1656701544593933</v>
      </c>
      <c r="K52" s="10">
        <f t="shared" si="43"/>
        <v>6.7008160104830568</v>
      </c>
      <c r="L52" s="10">
        <f t="shared" si="43"/>
        <v>6.0645493257629495</v>
      </c>
      <c r="M52" s="10">
        <f t="shared" ref="M52:N52" si="44">+(M41-M44)/M47</f>
        <v>7.0588946181115011</v>
      </c>
      <c r="N52" s="10">
        <f t="shared" si="44"/>
        <v>5.1020809080325922</v>
      </c>
    </row>
    <row r="53" spans="1:18" s="6" customFormat="1" x14ac:dyDescent="0.2">
      <c r="A53" s="6" t="s">
        <v>3</v>
      </c>
      <c r="B53" s="6">
        <f t="shared" ref="B53:C53" si="45">+B48/B41</f>
        <v>-7.5558018905922189E-2</v>
      </c>
      <c r="C53" s="6">
        <f t="shared" si="45"/>
        <v>-6.3198792901745016E-2</v>
      </c>
      <c r="D53" s="6">
        <f t="shared" ref="D53:E53" si="46">+D48/D41</f>
        <v>-7.1105871886120997E-2</v>
      </c>
      <c r="E53" s="6">
        <f t="shared" si="46"/>
        <v>-3.9891719745222938E-2</v>
      </c>
      <c r="F53" s="6">
        <f t="shared" ref="F53:G53" si="47">+F48/F41</f>
        <v>-3.232209891408485E-2</v>
      </c>
      <c r="G53" s="6">
        <f t="shared" si="47"/>
        <v>-4.707120418848168E-2</v>
      </c>
      <c r="H53" s="6">
        <f t="shared" ref="H53:M53" si="48">+H48/H41</f>
        <v>-1.7435602094240835E-2</v>
      </c>
      <c r="I53" s="6">
        <f t="shared" si="48"/>
        <v>-2.3313329295821174E-2</v>
      </c>
      <c r="J53" s="6">
        <f t="shared" si="48"/>
        <v>-3.2320879120879123E-2</v>
      </c>
      <c r="K53" s="6">
        <f t="shared" si="48"/>
        <v>2.4054945054945057E-2</v>
      </c>
      <c r="L53" s="6">
        <f t="shared" si="48"/>
        <v>3.7213285318590465E-2</v>
      </c>
      <c r="M53" s="6">
        <f t="shared" si="48"/>
        <v>-2.2698675772004425E-3</v>
      </c>
    </row>
    <row r="54" spans="1:18" s="6" customFormat="1" x14ac:dyDescent="0.2">
      <c r="A54" s="8" t="s">
        <v>2</v>
      </c>
      <c r="B54" s="9"/>
      <c r="C54" s="9"/>
      <c r="D54" s="9"/>
      <c r="E54" s="9"/>
      <c r="F54" s="9"/>
      <c r="G54" s="9"/>
      <c r="H54" s="9"/>
      <c r="I54" s="9"/>
      <c r="J54" s="9"/>
      <c r="K54" s="9"/>
      <c r="L54" s="9">
        <v>10</v>
      </c>
      <c r="M54" s="9">
        <v>10</v>
      </c>
      <c r="N54" s="9">
        <v>10</v>
      </c>
      <c r="O54" s="9"/>
      <c r="P54" s="9"/>
      <c r="Q54" s="8"/>
      <c r="R54" s="8"/>
    </row>
    <row r="55" spans="1:18" s="6" customFormat="1" x14ac:dyDescent="0.2">
      <c r="A55" s="6" t="s">
        <v>1</v>
      </c>
      <c r="B55" s="7">
        <f t="shared" ref="B55" si="49">IF(B42=0,IF(B54="","","*"&amp;TEXT(B54,"0.0x")),(B41+B42-B44)/B47)</f>
        <v>30.394470327930783</v>
      </c>
      <c r="C55" s="7">
        <f t="shared" ref="C55:D55" si="50">IF(C42=0,IF(C54="","","*"&amp;TEXT(C54,"0.0x")),(C41+C42-C44)/C47)</f>
        <v>30.447688073394499</v>
      </c>
      <c r="D55" s="7">
        <f t="shared" si="50"/>
        <v>14.205101580519692</v>
      </c>
      <c r="E55" s="7">
        <f t="shared" ref="E55:F55" si="51">IF(E42=0,IF(E54="","","*"&amp;TEXT(E54,"0.0x")),(E41+E42-E44)/E47)</f>
        <v>10.550229101690347</v>
      </c>
      <c r="F55" s="7">
        <f t="shared" si="51"/>
        <v>9.1988290344408377</v>
      </c>
      <c r="G55" s="7">
        <f t="shared" ref="G55:H55" si="52">IF(G42=0,IF(G54="","","*"&amp;TEXT(G54,"0.0x")),(G41+G42-G44)/G47)</f>
        <v>9.0892760280217431</v>
      </c>
      <c r="H55" s="7">
        <f t="shared" si="52"/>
        <v>10.133672819859964</v>
      </c>
      <c r="I55" s="7">
        <f t="shared" ref="I55:N55" si="53">IF(I42=0,IF(I54="","","*"&amp;TEXT(I54,"0.0x")),(I41+I42-I44)/I47)</f>
        <v>10.623130933141395</v>
      </c>
      <c r="J55" s="7">
        <f t="shared" si="53"/>
        <v>10.885262691690198</v>
      </c>
      <c r="K55" s="7">
        <f t="shared" si="53"/>
        <v>11.778545476204663</v>
      </c>
      <c r="L55" s="7" t="str">
        <f t="shared" si="53"/>
        <v>*10.0x</v>
      </c>
      <c r="M55" s="7" t="str">
        <f t="shared" si="53"/>
        <v>*10.0x</v>
      </c>
      <c r="N55" s="7" t="str">
        <f t="shared" si="53"/>
        <v>*10.0x</v>
      </c>
      <c r="O55" s="7"/>
      <c r="P55" s="7"/>
      <c r="Q55" s="7" t="str">
        <f t="shared" ref="Q55:R55" si="54">IF(Q42=0,IF(Q54="","",CONCATENATE("* ",Q54,"x")),(Q41+Q42-Q44)/Q47)</f>
        <v/>
      </c>
      <c r="R55" s="7" t="str">
        <f t="shared" si="54"/>
        <v/>
      </c>
    </row>
    <row r="56" spans="1:18" x14ac:dyDescent="0.2">
      <c r="P56" s="3"/>
    </row>
    <row r="57" spans="1:18" ht="80.25" customHeight="1" x14ac:dyDescent="0.2">
      <c r="A57" s="5" t="s">
        <v>0</v>
      </c>
      <c r="B57" s="4" t="s">
        <v>367</v>
      </c>
      <c r="C57" s="4" t="s">
        <v>367</v>
      </c>
      <c r="D57" s="4" t="s">
        <v>367</v>
      </c>
      <c r="E57" s="4" t="s">
        <v>367</v>
      </c>
      <c r="F57" s="4" t="s">
        <v>367</v>
      </c>
      <c r="G57" s="4" t="s">
        <v>468</v>
      </c>
      <c r="H57" s="4" t="s">
        <v>468</v>
      </c>
      <c r="I57" s="4" t="s">
        <v>104</v>
      </c>
      <c r="J57" s="4" t="s">
        <v>104</v>
      </c>
      <c r="K57" s="4"/>
      <c r="L57" s="4"/>
      <c r="M57" s="4"/>
      <c r="N57" s="4"/>
      <c r="O57" s="4"/>
      <c r="P57" s="4"/>
      <c r="Q57" s="4"/>
      <c r="R57" s="4"/>
    </row>
    <row r="58" spans="1:18" x14ac:dyDescent="0.2">
      <c r="A58" s="2"/>
      <c r="B58" s="3"/>
      <c r="C58" s="3"/>
      <c r="D58" s="3"/>
      <c r="E58" s="3"/>
      <c r="F58" s="3"/>
      <c r="G58" s="3"/>
      <c r="H58" s="3"/>
      <c r="I58" s="3"/>
      <c r="J58" s="3"/>
      <c r="K58" s="3"/>
      <c r="L58" s="3"/>
    </row>
    <row r="59" spans="1:18" x14ac:dyDescent="0.2">
      <c r="A59" s="2"/>
    </row>
  </sheetData>
  <pageMargins left="0.7" right="0.7" top="0.75" bottom="0.75" header="0.3" footer="0.3"/>
  <pageSetup orientation="portrait" r:id="rId1"/>
  <ignoredErrors>
    <ignoredError sqref="L28:R28 L56:R57 L39:N39 Q39:R55 L27:O27 Q24:R27 L45:N45 L43:N43 L50:N51 L55:N55 L52:M52 L53:M53 S28:S38 S56:S57 S39:S55 S24:S27 L30:R30 M29:P29 N46:N47 N49 L48:M48 L49:M49 L46:M47 K48 K46:K47 K49 M32:R32 Q31:R31 L35:R38 Q33:R33 Q34:R34 M24:O26 L24:L26 J24:K26 H24:I24 J49 J46:J47 J48 I47 I50:J52 I48 I49 H54:J56 I53:J53 I57:J57 I26 I25 I46 H49 H48 H50:H52 H47 B46:H46 B49:G49 B47:G47 B53:H53 B50:G52 B48:G48" formulaRange="1"/>
    <ignoredError sqref="L15:R15 L17:R18 L13:N14 P13:R14" evalError="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7" sqref="B7"/>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44</v>
      </c>
    </row>
    <row r="3" spans="1:15" s="35" customFormat="1" x14ac:dyDescent="0.2">
      <c r="A3" s="36" t="s">
        <v>43</v>
      </c>
      <c r="B3" s="35" t="s">
        <v>42</v>
      </c>
    </row>
    <row r="4" spans="1:15" x14ac:dyDescent="0.2">
      <c r="A4" s="34" t="s">
        <v>41</v>
      </c>
      <c r="B4" s="1" t="s">
        <v>40</v>
      </c>
    </row>
    <row r="5" spans="1:15" x14ac:dyDescent="0.2">
      <c r="A5" s="34" t="s">
        <v>39</v>
      </c>
    </row>
    <row r="6" spans="1:15" x14ac:dyDescent="0.2">
      <c r="A6" s="34" t="s">
        <v>38</v>
      </c>
      <c r="B6" s="1">
        <v>3</v>
      </c>
    </row>
    <row r="7" spans="1:15" x14ac:dyDescent="0.2">
      <c r="A7" s="34" t="s">
        <v>37</v>
      </c>
      <c r="B7" s="1" t="s">
        <v>157</v>
      </c>
    </row>
    <row r="8" spans="1:15" x14ac:dyDescent="0.2">
      <c r="A8" s="34" t="s">
        <v>281</v>
      </c>
      <c r="B8" s="1" t="s">
        <v>323</v>
      </c>
    </row>
    <row r="9" spans="1:15" x14ac:dyDescent="0.2">
      <c r="A9" s="22"/>
    </row>
    <row r="10" spans="1:15" x14ac:dyDescent="0.2">
      <c r="A10" s="22" t="s">
        <v>36</v>
      </c>
      <c r="B10" s="33">
        <v>43337</v>
      </c>
      <c r="C10" s="33">
        <v>43246</v>
      </c>
      <c r="D10" s="33">
        <v>43155</v>
      </c>
      <c r="E10" s="33">
        <v>43064</v>
      </c>
      <c r="F10" s="33">
        <v>42973</v>
      </c>
      <c r="G10" s="33">
        <v>42882</v>
      </c>
      <c r="H10" s="33">
        <v>42791</v>
      </c>
      <c r="I10" s="33">
        <v>42700</v>
      </c>
      <c r="J10" s="33">
        <v>42609</v>
      </c>
      <c r="K10" s="33">
        <v>42518</v>
      </c>
      <c r="L10" s="33"/>
      <c r="M10" s="33"/>
      <c r="N10" s="33"/>
      <c r="O10" s="33"/>
    </row>
    <row r="12" spans="1:15" x14ac:dyDescent="0.2">
      <c r="A12" s="15" t="s">
        <v>35</v>
      </c>
      <c r="B12" s="19">
        <f>431.429-C12-D12-E12</f>
        <v>108.26199999999999</v>
      </c>
      <c r="C12" s="19">
        <v>107.233</v>
      </c>
      <c r="D12" s="19">
        <v>109.34699999999999</v>
      </c>
      <c r="E12" s="19">
        <v>106.587</v>
      </c>
      <c r="F12" s="19">
        <f>396.171-G12-H12-I12</f>
        <v>97.557000000000016</v>
      </c>
      <c r="G12" s="19">
        <v>96.503</v>
      </c>
      <c r="H12" s="19">
        <v>102.30800000000001</v>
      </c>
      <c r="I12" s="19">
        <v>99.802999999999997</v>
      </c>
      <c r="J12" s="19"/>
      <c r="K12" s="19">
        <v>104.59</v>
      </c>
      <c r="L12" s="19"/>
      <c r="M12" s="19"/>
      <c r="N12" s="19"/>
      <c r="O12" s="19"/>
    </row>
    <row r="13" spans="1:15" s="28" customFormat="1" x14ac:dyDescent="0.2">
      <c r="A13" s="28" t="s">
        <v>34</v>
      </c>
      <c r="B13" s="28">
        <f>+B12/F12-1</f>
        <v>0.10973072152690189</v>
      </c>
      <c r="C13" s="28">
        <f>+C12/G12-1</f>
        <v>0.11118825321492598</v>
      </c>
      <c r="D13" s="28">
        <f>+D12/H12-1</f>
        <v>6.8802048715642883E-2</v>
      </c>
      <c r="E13" s="28">
        <f>+E12/I12-1</f>
        <v>6.7973908599942012E-2</v>
      </c>
    </row>
    <row r="14" spans="1:15" s="23" customFormat="1" x14ac:dyDescent="0.2">
      <c r="A14" s="31" t="s">
        <v>33</v>
      </c>
      <c r="B14" s="32" t="s">
        <v>32</v>
      </c>
      <c r="C14" s="32" t="s">
        <v>32</v>
      </c>
      <c r="D14" s="32" t="s">
        <v>32</v>
      </c>
      <c r="E14" s="32" t="s">
        <v>32</v>
      </c>
      <c r="F14" s="32"/>
      <c r="G14" s="32"/>
      <c r="H14" s="32"/>
      <c r="I14" s="32"/>
      <c r="J14" s="32"/>
      <c r="K14" s="32"/>
      <c r="L14" s="31"/>
      <c r="M14" s="31"/>
      <c r="N14" s="31"/>
      <c r="O14" s="31"/>
    </row>
    <row r="16" spans="1:15" s="22" customFormat="1" x14ac:dyDescent="0.2">
      <c r="A16" s="30" t="s">
        <v>31</v>
      </c>
      <c r="B16" s="29">
        <f>78.602-C16-D16-E16</f>
        <v>23.469000000000001</v>
      </c>
      <c r="C16" s="29">
        <f>55.133-E16-D16</f>
        <v>14.773000000000003</v>
      </c>
      <c r="D16" s="29">
        <f>40.36-E16</f>
        <v>16.649999999999999</v>
      </c>
      <c r="E16" s="29">
        <v>23.71</v>
      </c>
      <c r="F16" s="29">
        <f>72.543-G16-H16-I16</f>
        <v>17.410000000000007</v>
      </c>
      <c r="G16" s="29">
        <v>14.773</v>
      </c>
      <c r="H16" s="29">
        <v>18.109000000000002</v>
      </c>
      <c r="I16" s="29">
        <v>22.251000000000001</v>
      </c>
      <c r="J16" s="29"/>
      <c r="K16" s="29">
        <v>12.1</v>
      </c>
      <c r="L16" s="29"/>
      <c r="M16" s="29"/>
      <c r="N16" s="29"/>
      <c r="O16" s="29"/>
    </row>
    <row r="17" spans="1:15" s="28" customFormat="1" x14ac:dyDescent="0.2">
      <c r="A17" s="28" t="s">
        <v>30</v>
      </c>
      <c r="B17" s="28">
        <f t="shared" ref="B17:I17" si="0">+B16/B12</f>
        <v>0.21677966414808525</v>
      </c>
      <c r="C17" s="28">
        <f t="shared" si="0"/>
        <v>0.13776542668768013</v>
      </c>
      <c r="D17" s="28">
        <f t="shared" si="0"/>
        <v>0.15226755192186342</v>
      </c>
      <c r="E17" s="28">
        <f t="shared" si="0"/>
        <v>0.22244739039470104</v>
      </c>
      <c r="F17" s="28">
        <f t="shared" si="0"/>
        <v>0.17845977223571866</v>
      </c>
      <c r="G17" s="28">
        <f t="shared" si="0"/>
        <v>0.15308332383449219</v>
      </c>
      <c r="H17" s="28">
        <f t="shared" si="0"/>
        <v>0.17700473081283966</v>
      </c>
      <c r="I17" s="28">
        <f t="shared" si="0"/>
        <v>0.22294920994358888</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c r="K19" s="19"/>
      <c r="L19" s="19"/>
      <c r="M19" s="19"/>
      <c r="N19" s="19"/>
      <c r="O19" s="19"/>
    </row>
    <row r="20" spans="1:15" s="23" customFormat="1" x14ac:dyDescent="0.2">
      <c r="A20" s="15" t="s">
        <v>28</v>
      </c>
      <c r="B20" s="19">
        <v>0</v>
      </c>
      <c r="C20" s="19">
        <v>0</v>
      </c>
      <c r="D20" s="19">
        <v>0</v>
      </c>
      <c r="E20" s="19">
        <v>0</v>
      </c>
      <c r="F20" s="19">
        <v>0</v>
      </c>
      <c r="G20" s="19">
        <v>0</v>
      </c>
      <c r="H20" s="19">
        <v>0</v>
      </c>
      <c r="I20" s="19">
        <v>0</v>
      </c>
      <c r="J20" s="19"/>
      <c r="K20" s="19"/>
      <c r="L20" s="19"/>
      <c r="M20" s="19"/>
      <c r="N20" s="19"/>
      <c r="O20" s="19"/>
    </row>
    <row r="21" spans="1:15" s="23" customFormat="1" x14ac:dyDescent="0.2">
      <c r="A21" s="15" t="s">
        <v>18</v>
      </c>
      <c r="B21" s="19">
        <v>0</v>
      </c>
      <c r="C21" s="19">
        <v>0</v>
      </c>
      <c r="D21" s="19">
        <v>0</v>
      </c>
      <c r="E21" s="19">
        <v>0</v>
      </c>
      <c r="F21" s="19">
        <v>0</v>
      </c>
      <c r="G21" s="19">
        <v>0</v>
      </c>
      <c r="H21" s="19">
        <v>0</v>
      </c>
      <c r="I21" s="19">
        <v>0</v>
      </c>
      <c r="J21" s="19"/>
      <c r="K21" s="19"/>
      <c r="L21" s="19"/>
      <c r="M21" s="19"/>
      <c r="N21" s="19"/>
      <c r="O21" s="19"/>
    </row>
    <row r="22" spans="1:15" s="22" customFormat="1" x14ac:dyDescent="0.2">
      <c r="A22" s="22" t="s">
        <v>23</v>
      </c>
      <c r="B22" s="20">
        <f t="shared" ref="B22:I22" si="1">SUM(B16,B19:B21)</f>
        <v>23.469000000000001</v>
      </c>
      <c r="C22" s="20">
        <f t="shared" si="1"/>
        <v>14.773000000000003</v>
      </c>
      <c r="D22" s="20">
        <f t="shared" si="1"/>
        <v>16.649999999999999</v>
      </c>
      <c r="E22" s="20">
        <f t="shared" si="1"/>
        <v>23.71</v>
      </c>
      <c r="F22" s="20">
        <f t="shared" si="1"/>
        <v>17.410000000000007</v>
      </c>
      <c r="G22" s="20">
        <f t="shared" si="1"/>
        <v>14.773</v>
      </c>
      <c r="H22" s="20">
        <f t="shared" si="1"/>
        <v>18.109000000000002</v>
      </c>
      <c r="I22" s="20">
        <f t="shared" si="1"/>
        <v>22.251000000000001</v>
      </c>
      <c r="J22" s="20"/>
      <c r="K22" s="20"/>
      <c r="L22" s="20"/>
      <c r="M22" s="20"/>
      <c r="N22" s="20"/>
      <c r="O22" s="20"/>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20">
        <f>SUM(B22:E22)</f>
        <v>78.602000000000004</v>
      </c>
      <c r="C24" s="20">
        <f>SUM(C22:F22)</f>
        <v>72.543000000000006</v>
      </c>
      <c r="D24" s="20">
        <f>SUM(D22:G22)</f>
        <v>72.543000000000006</v>
      </c>
      <c r="E24" s="20">
        <f>SUM(E22:H22)</f>
        <v>74.00200000000001</v>
      </c>
      <c r="F24" s="20">
        <f>SUM(F22:I22)</f>
        <v>72.543000000000006</v>
      </c>
      <c r="G24" s="20"/>
      <c r="H24" s="20"/>
      <c r="I24" s="20"/>
      <c r="J24" s="20"/>
      <c r="K24" s="20"/>
      <c r="L24" s="20"/>
      <c r="M24" s="20"/>
      <c r="N24" s="20"/>
      <c r="O24" s="20"/>
    </row>
    <row r="25" spans="1:15" s="23" customFormat="1" x14ac:dyDescent="0.2">
      <c r="A25" s="15" t="s">
        <v>26</v>
      </c>
      <c r="B25" s="27">
        <v>0</v>
      </c>
      <c r="C25" s="27">
        <v>0</v>
      </c>
      <c r="D25" s="27">
        <v>0</v>
      </c>
      <c r="E25" s="27">
        <v>0</v>
      </c>
      <c r="F25" s="27">
        <v>0</v>
      </c>
      <c r="G25" s="27"/>
      <c r="H25" s="27"/>
      <c r="I25" s="27"/>
      <c r="J25" s="27"/>
      <c r="K25" s="27"/>
      <c r="L25" s="27"/>
      <c r="M25" s="27"/>
      <c r="N25" s="27"/>
      <c r="O25" s="27"/>
    </row>
    <row r="26" spans="1:15" s="23" customFormat="1" x14ac:dyDescent="0.2">
      <c r="A26" s="15" t="s">
        <v>25</v>
      </c>
      <c r="B26" s="21">
        <v>0</v>
      </c>
      <c r="C26" s="21">
        <v>0</v>
      </c>
      <c r="D26" s="21">
        <v>0</v>
      </c>
      <c r="E26" s="21">
        <v>0</v>
      </c>
      <c r="F26" s="21">
        <v>0</v>
      </c>
      <c r="G26" s="21"/>
      <c r="H26" s="21"/>
      <c r="I26" s="21"/>
      <c r="J26" s="21"/>
      <c r="K26" s="21"/>
      <c r="L26" s="21"/>
      <c r="M26" s="26"/>
      <c r="N26" s="26"/>
      <c r="O26" s="26"/>
    </row>
    <row r="27" spans="1:15" s="24" customFormat="1" x14ac:dyDescent="0.2">
      <c r="A27" s="22" t="s">
        <v>24</v>
      </c>
      <c r="B27" s="20">
        <f>B24+B25+B26</f>
        <v>78.602000000000004</v>
      </c>
      <c r="C27" s="20">
        <f>C24+C25+C26</f>
        <v>72.543000000000006</v>
      </c>
      <c r="D27" s="20">
        <f>D24+D25+D26</f>
        <v>72.543000000000006</v>
      </c>
      <c r="E27" s="20">
        <f>E24+E25+E26</f>
        <v>74.00200000000001</v>
      </c>
      <c r="F27" s="20">
        <f>F24+F25+F26</f>
        <v>72.543000000000006</v>
      </c>
      <c r="G27" s="20"/>
      <c r="H27" s="20"/>
      <c r="I27" s="20"/>
      <c r="J27" s="20"/>
      <c r="K27" s="20"/>
      <c r="L27" s="20"/>
      <c r="M27" s="25"/>
      <c r="N27" s="25"/>
      <c r="O27" s="25"/>
    </row>
    <row r="28" spans="1:15" s="23" customFormat="1" x14ac:dyDescent="0.2"/>
    <row r="29" spans="1:15" s="22" customFormat="1" x14ac:dyDescent="0.2">
      <c r="A29" s="22" t="s">
        <v>23</v>
      </c>
      <c r="B29" s="20">
        <f t="shared" ref="B29:I29" si="2">B22</f>
        <v>23.469000000000001</v>
      </c>
      <c r="C29" s="20">
        <f t="shared" si="2"/>
        <v>14.773000000000003</v>
      </c>
      <c r="D29" s="20">
        <f t="shared" si="2"/>
        <v>16.649999999999999</v>
      </c>
      <c r="E29" s="20">
        <f t="shared" si="2"/>
        <v>23.71</v>
      </c>
      <c r="F29" s="20">
        <f t="shared" si="2"/>
        <v>17.410000000000007</v>
      </c>
      <c r="G29" s="20">
        <f t="shared" si="2"/>
        <v>14.773</v>
      </c>
      <c r="H29" s="20">
        <f t="shared" si="2"/>
        <v>18.109000000000002</v>
      </c>
      <c r="I29" s="20">
        <f t="shared" si="2"/>
        <v>22.251000000000001</v>
      </c>
      <c r="J29" s="20"/>
      <c r="K29" s="20"/>
      <c r="L29" s="20"/>
      <c r="M29" s="20"/>
      <c r="N29" s="20"/>
      <c r="O29" s="20"/>
    </row>
    <row r="30" spans="1:15" s="11" customFormat="1" x14ac:dyDescent="0.2">
      <c r="A30" s="19" t="s">
        <v>22</v>
      </c>
      <c r="B30" s="19">
        <f>-11.218-C30-D30-E30</f>
        <v>-2.9919999999999995</v>
      </c>
      <c r="C30" s="19">
        <f>-8.226-E30-D30</f>
        <v>-2.7450000000000006</v>
      </c>
      <c r="D30" s="19">
        <f>-5.481-E30</f>
        <v>-2.754</v>
      </c>
      <c r="E30" s="19">
        <v>-2.7269999999999999</v>
      </c>
      <c r="F30" s="19">
        <f>-25.243-G30-H30-I30</f>
        <v>-6.2939999999999987</v>
      </c>
      <c r="G30" s="19">
        <f>-18.949-I30-H30</f>
        <v>-6.5050000000000008</v>
      </c>
      <c r="H30" s="19">
        <f>-12.444-I30</f>
        <v>-6.1620000000000008</v>
      </c>
      <c r="I30" s="19">
        <v>-6.282</v>
      </c>
      <c r="J30" s="19"/>
      <c r="K30" s="19"/>
      <c r="L30" s="19"/>
      <c r="M30" s="19"/>
      <c r="N30" s="19"/>
      <c r="O30" s="19"/>
    </row>
    <row r="31" spans="1:15" s="11" customFormat="1" x14ac:dyDescent="0.2">
      <c r="A31" s="19" t="s">
        <v>21</v>
      </c>
      <c r="B31" s="19">
        <f>-4.577-C31-D31-E31</f>
        <v>-2.4790000000000001</v>
      </c>
      <c r="C31" s="19">
        <f>-2.098-E31-D31</f>
        <v>-0.34299999999999997</v>
      </c>
      <c r="D31" s="19">
        <f>-1.755-E31</f>
        <v>-1.4139999999999999</v>
      </c>
      <c r="E31" s="19">
        <v>-0.34100000000000003</v>
      </c>
      <c r="F31" s="19">
        <f>-12.711-G31-H31-I31</f>
        <v>-0.34000000000000064</v>
      </c>
      <c r="G31" s="19">
        <f>-12.371-I31-H31</f>
        <v>-10.661</v>
      </c>
      <c r="H31" s="19">
        <f>-1.71-I31</f>
        <v>-1.7050000000000001</v>
      </c>
      <c r="I31" s="19">
        <v>-5.0000000000000001E-3</v>
      </c>
      <c r="J31" s="19"/>
      <c r="K31" s="19"/>
      <c r="L31" s="19"/>
      <c r="M31" s="19"/>
      <c r="N31" s="19"/>
      <c r="O31" s="19"/>
    </row>
    <row r="32" spans="1:15" s="11" customFormat="1" x14ac:dyDescent="0.2">
      <c r="A32" s="19" t="s">
        <v>20</v>
      </c>
      <c r="B32" s="19">
        <f>1.495-C32-D32-E32</f>
        <v>10.680000000000003</v>
      </c>
      <c r="C32" s="19">
        <f>-4.812+4.003-1.296-2.334-4.676-0.034+0.203-0.239-E32-D32</f>
        <v>-3.7380000000000031</v>
      </c>
      <c r="D32" s="19">
        <f>-4.672+3.284-0.909-2.346-2.601-0.015+1.726+0.086-E32</f>
        <v>2.6739999999999995</v>
      </c>
      <c r="E32" s="19">
        <f>-6.985-2.688-0.375+0.053+2.627-0.03-0.767+0.044</f>
        <v>-8.1209999999999987</v>
      </c>
      <c r="F32" s="19">
        <f>-12.364-G32-H32-I32</f>
        <v>-7.7149999999999981</v>
      </c>
      <c r="G32" s="19">
        <f>8.289-1.11-0.399-7.964-1.168-0.49-1.846+0.039-I32-H32</f>
        <v>-7.0670000000000011</v>
      </c>
      <c r="H32" s="19">
        <f>1.584+6.474-0.051-3.345-6.05+0.049+3.748+0.009-I32</f>
        <v>8.6399999999999988</v>
      </c>
      <c r="I32" s="19">
        <f>6.91+3.908-0.815-3.692-7.143+0.205-5.628+0.033</f>
        <v>-6.2219999999999995</v>
      </c>
      <c r="J32" s="19"/>
      <c r="K32" s="19"/>
      <c r="L32" s="19"/>
      <c r="M32" s="19"/>
      <c r="N32" s="19"/>
      <c r="O32" s="19"/>
    </row>
    <row r="33" spans="1:15" s="11" customFormat="1" x14ac:dyDescent="0.2">
      <c r="A33" s="19" t="s">
        <v>19</v>
      </c>
      <c r="B33" s="19"/>
      <c r="C33" s="19"/>
      <c r="D33" s="19"/>
      <c r="E33" s="19"/>
      <c r="F33" s="19"/>
      <c r="G33" s="19"/>
      <c r="H33" s="19"/>
      <c r="I33" s="19"/>
      <c r="J33" s="19"/>
      <c r="K33" s="19"/>
      <c r="L33" s="19"/>
      <c r="M33" s="19"/>
      <c r="N33" s="19"/>
      <c r="O33" s="19"/>
    </row>
    <row r="34" spans="1:15" s="11" customFormat="1" x14ac:dyDescent="0.2">
      <c r="A34" s="19" t="s">
        <v>18</v>
      </c>
      <c r="B34" s="21"/>
      <c r="C34" s="21"/>
      <c r="D34" s="21"/>
      <c r="E34" s="21"/>
      <c r="F34" s="21"/>
      <c r="G34" s="21"/>
      <c r="H34" s="21"/>
      <c r="I34" s="21"/>
      <c r="J34" s="21"/>
      <c r="K34" s="21"/>
      <c r="L34" s="21"/>
      <c r="M34" s="21"/>
      <c r="N34" s="21"/>
      <c r="O34" s="21"/>
    </row>
    <row r="35" spans="1:15" s="20" customFormat="1" x14ac:dyDescent="0.2">
      <c r="A35" s="20" t="s">
        <v>17</v>
      </c>
      <c r="B35" s="20">
        <f>61.038-C35-D35-E35</f>
        <v>24.814999999999998</v>
      </c>
      <c r="C35" s="20">
        <f>36.223-E35-D35</f>
        <v>10.872</v>
      </c>
      <c r="D35" s="20">
        <f>25.351-E35</f>
        <v>16.518000000000001</v>
      </c>
      <c r="E35" s="20">
        <v>8.8330000000000002</v>
      </c>
      <c r="F35" s="20">
        <f>-5.417-G35-H35-I35</f>
        <v>-24.158000000000001</v>
      </c>
      <c r="G35" s="20">
        <f>18.741-I35-H35</f>
        <v>-0.6460000000000008</v>
      </c>
      <c r="H35" s="20">
        <f>19.387-I35</f>
        <v>10.752000000000001</v>
      </c>
      <c r="I35" s="20">
        <v>8.6349999999999998</v>
      </c>
    </row>
    <row r="36" spans="1:15" s="11" customFormat="1" x14ac:dyDescent="0.2">
      <c r="A36" s="19" t="s">
        <v>16</v>
      </c>
      <c r="B36" s="21">
        <f>-1.771-C36-D36-E36</f>
        <v>-0.42399999999999993</v>
      </c>
      <c r="C36" s="21">
        <f>-1.347-E36-D36</f>
        <v>-0.46099999999999997</v>
      </c>
      <c r="D36" s="21">
        <f>-0.886-E36</f>
        <v>-0.22499999999999998</v>
      </c>
      <c r="E36" s="21">
        <v>-0.66100000000000003</v>
      </c>
      <c r="F36" s="21">
        <f>-0.956-G36-H36-I36</f>
        <v>-0.53499999999999992</v>
      </c>
      <c r="G36" s="21">
        <f>-0.421-I36-H36</f>
        <v>-0.13700000000000004</v>
      </c>
      <c r="H36" s="21">
        <f>-0.284-I36</f>
        <v>-0.24299999999999997</v>
      </c>
      <c r="I36" s="21">
        <v>-4.1000000000000002E-2</v>
      </c>
      <c r="J36" s="21"/>
      <c r="K36" s="21"/>
      <c r="L36" s="21"/>
      <c r="M36" s="21"/>
      <c r="N36" s="21"/>
      <c r="O36" s="21"/>
    </row>
    <row r="37" spans="1:15" s="20" customFormat="1" x14ac:dyDescent="0.2">
      <c r="A37" s="20" t="s">
        <v>15</v>
      </c>
      <c r="B37" s="20">
        <f t="shared" ref="B37:I37" si="3">B35+B36</f>
        <v>24.390999999999998</v>
      </c>
      <c r="C37" s="20">
        <f t="shared" si="3"/>
        <v>10.411</v>
      </c>
      <c r="D37" s="20">
        <f t="shared" si="3"/>
        <v>16.292999999999999</v>
      </c>
      <c r="E37" s="20">
        <f t="shared" si="3"/>
        <v>8.1720000000000006</v>
      </c>
      <c r="F37" s="20">
        <f t="shared" si="3"/>
        <v>-24.693000000000001</v>
      </c>
      <c r="G37" s="20">
        <f t="shared" si="3"/>
        <v>-0.78300000000000081</v>
      </c>
      <c r="H37" s="20">
        <f t="shared" si="3"/>
        <v>10.509</v>
      </c>
      <c r="I37" s="20">
        <f t="shared" si="3"/>
        <v>8.5939999999999994</v>
      </c>
    </row>
    <row r="39" spans="1:15" s="16" customFormat="1" x14ac:dyDescent="0.2">
      <c r="A39" s="18" t="s">
        <v>14</v>
      </c>
      <c r="B39" s="19">
        <v>0</v>
      </c>
      <c r="C39" s="19">
        <v>0</v>
      </c>
      <c r="D39" s="19">
        <v>0</v>
      </c>
      <c r="E39" s="19">
        <v>0</v>
      </c>
      <c r="F39" s="19"/>
      <c r="G39" s="19"/>
      <c r="H39" s="19"/>
      <c r="I39" s="19"/>
      <c r="J39" s="19"/>
      <c r="K39" s="19"/>
      <c r="L39" s="19"/>
      <c r="M39" s="19"/>
      <c r="N39" s="19"/>
      <c r="O39" s="19"/>
    </row>
    <row r="40" spans="1:15" s="16" customFormat="1" x14ac:dyDescent="0.2">
      <c r="A40" s="18" t="s">
        <v>13</v>
      </c>
      <c r="B40" s="19">
        <v>198.5</v>
      </c>
      <c r="C40" s="19">
        <v>199</v>
      </c>
      <c r="D40" s="19">
        <v>199.5</v>
      </c>
      <c r="E40" s="19">
        <v>200</v>
      </c>
      <c r="F40" s="19"/>
      <c r="G40" s="19"/>
      <c r="H40" s="19"/>
      <c r="I40" s="19"/>
      <c r="J40" s="19"/>
      <c r="K40" s="19"/>
      <c r="L40" s="19"/>
      <c r="M40" s="19"/>
      <c r="N40" s="19"/>
      <c r="O40" s="19"/>
    </row>
    <row r="41" spans="1:15" s="16" customFormat="1" x14ac:dyDescent="0.2">
      <c r="A41" s="18" t="s">
        <v>12</v>
      </c>
      <c r="B41" s="19">
        <f>B39+B40</f>
        <v>198.5</v>
      </c>
      <c r="C41" s="19">
        <f>C39+C40</f>
        <v>199</v>
      </c>
      <c r="D41" s="19">
        <f>D39+D40</f>
        <v>199.5</v>
      </c>
      <c r="E41" s="19">
        <f>E39+E40</f>
        <v>200</v>
      </c>
      <c r="F41" s="19"/>
      <c r="G41" s="19"/>
      <c r="H41" s="19"/>
      <c r="I41" s="19"/>
      <c r="J41" s="19"/>
      <c r="K41" s="19"/>
      <c r="L41" s="19"/>
      <c r="M41" s="19"/>
      <c r="N41" s="19"/>
      <c r="O41" s="19"/>
    </row>
    <row r="42" spans="1:15" s="16" customFormat="1" x14ac:dyDescent="0.2">
      <c r="A42" s="18" t="s">
        <v>11</v>
      </c>
      <c r="B42" s="17">
        <f>80849248/1000000*17.78</f>
        <v>1437.49962944</v>
      </c>
      <c r="C42" s="17">
        <f>70582573/1000000*14.44</f>
        <v>1019.2123541199999</v>
      </c>
      <c r="D42" s="17">
        <f>70582573/1000000*13.73</f>
        <v>969.09872728999994</v>
      </c>
      <c r="E42" s="17">
        <f>70582573/1000000*13.25</f>
        <v>935.2190922499999</v>
      </c>
      <c r="F42" s="17"/>
      <c r="G42" s="17"/>
      <c r="H42" s="17"/>
      <c r="I42" s="17"/>
      <c r="J42" s="17"/>
      <c r="K42" s="17"/>
      <c r="L42" s="17"/>
      <c r="M42" s="17"/>
      <c r="N42" s="17"/>
      <c r="O42" s="17"/>
    </row>
    <row r="43" spans="1:15" x14ac:dyDescent="0.2">
      <c r="B43" s="16"/>
      <c r="C43" s="16"/>
      <c r="D43" s="16"/>
      <c r="E43" s="16"/>
      <c r="F43" s="16"/>
      <c r="G43" s="16"/>
      <c r="H43" s="16"/>
      <c r="I43" s="16"/>
      <c r="J43" s="16"/>
    </row>
    <row r="44" spans="1:15" x14ac:dyDescent="0.2">
      <c r="A44" s="15" t="s">
        <v>10</v>
      </c>
      <c r="B44" s="14">
        <v>111.971</v>
      </c>
      <c r="C44" s="14">
        <v>88.361000000000004</v>
      </c>
      <c r="D44" s="14">
        <v>79.010000000000005</v>
      </c>
      <c r="E44" s="14">
        <v>62.875</v>
      </c>
      <c r="F44" s="14">
        <v>56.500999999999998</v>
      </c>
      <c r="G44" s="14">
        <v>22.163</v>
      </c>
      <c r="H44" s="14">
        <v>56.500999999999998</v>
      </c>
      <c r="I44" s="14"/>
      <c r="J44" s="14"/>
      <c r="K44" s="14"/>
      <c r="L44" s="14"/>
      <c r="M44" s="14"/>
      <c r="N44" s="14"/>
      <c r="O44" s="14"/>
    </row>
    <row r="46" spans="1:15" x14ac:dyDescent="0.2">
      <c r="A46" s="1" t="s">
        <v>9</v>
      </c>
      <c r="B46" s="13">
        <f>SUM(B12:E12)</f>
        <v>431.42899999999997</v>
      </c>
      <c r="C46" s="13">
        <f>SUM(C12:F12)</f>
        <v>420.72399999999999</v>
      </c>
      <c r="D46" s="13">
        <f>SUM(D12:G12)</f>
        <v>409.99399999999997</v>
      </c>
      <c r="E46" s="13">
        <f>SUM(E12:H12)</f>
        <v>402.95499999999998</v>
      </c>
      <c r="F46" s="13">
        <f>SUM(F12:I12)</f>
        <v>396.17099999999999</v>
      </c>
      <c r="G46" s="13">
        <f>H46+G12-K12</f>
        <v>374.20600000000013</v>
      </c>
      <c r="H46" s="12">
        <v>382.29300000000012</v>
      </c>
      <c r="I46" s="11"/>
      <c r="J46" s="11"/>
      <c r="K46" s="11"/>
      <c r="L46" s="11"/>
    </row>
    <row r="47" spans="1:15" x14ac:dyDescent="0.2">
      <c r="A47" s="1" t="s">
        <v>8</v>
      </c>
      <c r="B47" s="13">
        <f>B27</f>
        <v>78.602000000000004</v>
      </c>
      <c r="C47" s="13">
        <f>C27</f>
        <v>72.543000000000006</v>
      </c>
      <c r="D47" s="13">
        <f>D27</f>
        <v>72.543000000000006</v>
      </c>
      <c r="E47" s="13">
        <f>E27</f>
        <v>74.00200000000001</v>
      </c>
      <c r="F47" s="13">
        <f>F27</f>
        <v>72.543000000000006</v>
      </c>
      <c r="G47" s="13">
        <f>H47+G16-K16</f>
        <v>72.105000000000075</v>
      </c>
      <c r="H47" s="12">
        <v>69.432000000000073</v>
      </c>
      <c r="I47" s="11"/>
      <c r="J47" s="11"/>
      <c r="K47" s="11"/>
      <c r="L47" s="11"/>
    </row>
    <row r="48" spans="1:15" x14ac:dyDescent="0.2">
      <c r="A48" s="1" t="s">
        <v>7</v>
      </c>
      <c r="B48" s="13">
        <f>SUM(B37:E37)</f>
        <v>59.266999999999996</v>
      </c>
      <c r="C48" s="13">
        <f>SUM(C37:F37)</f>
        <v>10.183000000000003</v>
      </c>
      <c r="D48" s="13">
        <f>SUM(D37:G37)</f>
        <v>-1.0110000000000023</v>
      </c>
      <c r="E48" s="13">
        <f>SUM(E37:H37)</f>
        <v>-6.7950000000000017</v>
      </c>
      <c r="F48" s="13">
        <f>SUM(F37:I37)</f>
        <v>-6.3730000000000029</v>
      </c>
      <c r="G48" s="77" t="s">
        <v>83</v>
      </c>
      <c r="H48" s="12">
        <v>35.738660000000046</v>
      </c>
      <c r="I48" s="11"/>
      <c r="J48" s="11"/>
      <c r="K48" s="11"/>
      <c r="L48" s="11"/>
    </row>
    <row r="50" spans="1:15" s="10" customFormat="1" x14ac:dyDescent="0.2">
      <c r="A50" s="10" t="s">
        <v>6</v>
      </c>
      <c r="B50" s="10">
        <f>+SUM(B39:B40)/B47</f>
        <v>2.5253810335614868</v>
      </c>
      <c r="C50" s="10">
        <f>+SUM(C39:C40)/C47</f>
        <v>2.7432005844809284</v>
      </c>
      <c r="D50" s="10">
        <f>+SUM(D39:D40)/D47</f>
        <v>2.7500930482610313</v>
      </c>
      <c r="E50" s="10">
        <f>+SUM(E39:E40)/E47</f>
        <v>2.702629658657874</v>
      </c>
    </row>
    <row r="51" spans="1:15" s="10" customFormat="1" x14ac:dyDescent="0.2">
      <c r="A51" s="10" t="s">
        <v>5</v>
      </c>
      <c r="B51" s="10">
        <f>+B41/B47</f>
        <v>2.5253810335614868</v>
      </c>
      <c r="C51" s="10">
        <f>+C41/C47</f>
        <v>2.7432005844809284</v>
      </c>
      <c r="D51" s="10">
        <f>+D41/D47</f>
        <v>2.7500930482610313</v>
      </c>
      <c r="E51" s="10">
        <f>+E41/E47</f>
        <v>2.702629658657874</v>
      </c>
    </row>
    <row r="52" spans="1:15" s="10" customFormat="1" x14ac:dyDescent="0.2">
      <c r="A52" s="10" t="s">
        <v>4</v>
      </c>
      <c r="B52" s="10">
        <f>+(B41-B44)/B47</f>
        <v>1.1008498511488256</v>
      </c>
      <c r="C52" s="10">
        <f>+(C41-C44)/C47</f>
        <v>1.5251506003335951</v>
      </c>
      <c r="D52" s="10">
        <f>+(D41-D44)/D47</f>
        <v>1.6609459217291811</v>
      </c>
      <c r="E52" s="10">
        <f>+(E41-E44)/E47</f>
        <v>1.8529904597173048</v>
      </c>
    </row>
    <row r="53" spans="1:15" s="6" customFormat="1" x14ac:dyDescent="0.2">
      <c r="A53" s="6" t="s">
        <v>3</v>
      </c>
      <c r="B53" s="6">
        <f>+B48/B41</f>
        <v>0.29857430730478585</v>
      </c>
      <c r="C53" s="6">
        <f>+C48/C41</f>
        <v>5.11708542713568E-2</v>
      </c>
      <c r="D53" s="6">
        <f>+D48/D41</f>
        <v>-5.0676691729323424E-3</v>
      </c>
      <c r="E53" s="6">
        <f>+E48/E41</f>
        <v>-3.3975000000000005E-2</v>
      </c>
    </row>
    <row r="54" spans="1:15" s="6" customFormat="1" x14ac:dyDescent="0.2">
      <c r="A54" s="8" t="s">
        <v>2</v>
      </c>
      <c r="B54" s="9"/>
      <c r="C54" s="9"/>
      <c r="D54" s="9"/>
      <c r="E54" s="9"/>
      <c r="F54" s="9"/>
      <c r="G54" s="9"/>
      <c r="H54" s="9"/>
      <c r="I54" s="9"/>
      <c r="J54" s="9"/>
      <c r="K54" s="9"/>
      <c r="L54" s="9"/>
      <c r="M54" s="8"/>
      <c r="N54" s="8"/>
      <c r="O54" s="8"/>
    </row>
    <row r="55" spans="1:15" s="6" customFormat="1" x14ac:dyDescent="0.2">
      <c r="A55" s="6" t="s">
        <v>1</v>
      </c>
      <c r="B55" s="7">
        <f t="shared" ref="B55:L55" si="4">IF(B42=0,IF(B54="","","*"&amp;TEXT(B54,"0.0x")),(B41+B42-B44)/B47)</f>
        <v>19.38918385588153</v>
      </c>
      <c r="C55" s="7">
        <f t="shared" si="4"/>
        <v>15.57491907034448</v>
      </c>
      <c r="D55" s="7">
        <f t="shared" si="4"/>
        <v>15.01990167610934</v>
      </c>
      <c r="E55" s="7">
        <f t="shared" si="4"/>
        <v>14.490744740007024</v>
      </c>
      <c r="F55" s="7" t="str">
        <f t="shared" si="4"/>
        <v/>
      </c>
      <c r="G55" s="7" t="str">
        <f t="shared" si="4"/>
        <v/>
      </c>
      <c r="H55" s="7" t="str">
        <f t="shared" si="4"/>
        <v/>
      </c>
      <c r="I55" s="7" t="str">
        <f t="shared" si="4"/>
        <v/>
      </c>
      <c r="J55" s="7" t="str">
        <f t="shared" si="4"/>
        <v/>
      </c>
      <c r="K55" s="7" t="str">
        <f t="shared" si="4"/>
        <v/>
      </c>
      <c r="L55" s="7" t="str">
        <f t="shared" si="4"/>
        <v/>
      </c>
      <c r="M55" s="7" t="str">
        <f>IF(M42=0,IF(M54="","",CONCATENATE("* ",M54,"x")),(M41+M42-M44)/M47)</f>
        <v/>
      </c>
      <c r="N55" s="7" t="str">
        <f>IF(N42=0,IF(N54="","",CONCATENATE("* ",N54,"x")),(N41+N42-N44)/N47)</f>
        <v/>
      </c>
      <c r="O55" s="7" t="str">
        <f>IF(O42=0,IF(O54="","",CONCATENATE("* ",O54,"x")),(O41+O42-O44)/O47)</f>
        <v/>
      </c>
    </row>
    <row r="56" spans="1:15" x14ac:dyDescent="0.2">
      <c r="L56" s="3"/>
    </row>
    <row r="57" spans="1:15" ht="80.25" customHeight="1" x14ac:dyDescent="0.2">
      <c r="A57" s="5" t="s">
        <v>0</v>
      </c>
      <c r="B57" s="4" t="s">
        <v>235</v>
      </c>
      <c r="C57" s="4"/>
      <c r="D57" s="4"/>
      <c r="E57" s="4"/>
      <c r="F57" s="4"/>
      <c r="G57" s="4"/>
      <c r="H57" s="4"/>
      <c r="I57" s="4"/>
      <c r="J57" s="4"/>
      <c r="K57" s="4"/>
      <c r="L57" s="4"/>
      <c r="M57" s="4"/>
      <c r="N57" s="4"/>
      <c r="O57" s="4"/>
    </row>
    <row r="58" spans="1:15" x14ac:dyDescent="0.2">
      <c r="A58" s="2"/>
      <c r="B58" s="3"/>
      <c r="C58" s="3"/>
      <c r="D58" s="3"/>
      <c r="E58" s="3"/>
      <c r="F58" s="3"/>
      <c r="G58" s="3"/>
      <c r="H58" s="3"/>
    </row>
    <row r="59" spans="1:15" x14ac:dyDescent="0.2">
      <c r="A59" s="2"/>
    </row>
  </sheetData>
  <pageMargins left="0.7" right="0.7" top="0.75" bottom="0.75" header="0.3" footer="0.3"/>
  <pageSetup orientation="portrait" r:id="rId1"/>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2:Q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7" x14ac:dyDescent="0.2">
      <c r="A2" s="34" t="s">
        <v>45</v>
      </c>
      <c r="B2" s="1" t="s">
        <v>268</v>
      </c>
    </row>
    <row r="3" spans="1:17" s="35" customFormat="1" x14ac:dyDescent="0.2">
      <c r="A3" s="36" t="s">
        <v>43</v>
      </c>
      <c r="B3" s="35" t="s">
        <v>269</v>
      </c>
    </row>
    <row r="4" spans="1:17" x14ac:dyDescent="0.2">
      <c r="A4" s="34" t="s">
        <v>41</v>
      </c>
      <c r="B4" s="1" t="s">
        <v>40</v>
      </c>
    </row>
    <row r="5" spans="1:17" x14ac:dyDescent="0.2">
      <c r="A5" s="34" t="s">
        <v>39</v>
      </c>
    </row>
    <row r="6" spans="1:17" x14ac:dyDescent="0.2">
      <c r="A6" s="34" t="s">
        <v>38</v>
      </c>
      <c r="B6" s="1">
        <v>3</v>
      </c>
    </row>
    <row r="7" spans="1:17" x14ac:dyDescent="0.2">
      <c r="A7" s="34" t="s">
        <v>37</v>
      </c>
      <c r="B7" s="1" t="s">
        <v>374</v>
      </c>
    </row>
    <row r="8" spans="1:17" x14ac:dyDescent="0.2">
      <c r="A8" s="34" t="s">
        <v>281</v>
      </c>
      <c r="B8" s="1" t="s">
        <v>286</v>
      </c>
    </row>
    <row r="9" spans="1:17" x14ac:dyDescent="0.2">
      <c r="A9" s="22"/>
    </row>
    <row r="10" spans="1:17" x14ac:dyDescent="0.2">
      <c r="A10" s="22" t="s">
        <v>36</v>
      </c>
      <c r="B10" s="33">
        <v>43921</v>
      </c>
      <c r="C10" s="33">
        <v>43830</v>
      </c>
      <c r="D10" s="33">
        <v>43738</v>
      </c>
      <c r="E10" s="33">
        <v>43646</v>
      </c>
      <c r="F10" s="33">
        <v>43555</v>
      </c>
      <c r="G10" s="33">
        <v>43465</v>
      </c>
      <c r="H10" s="33">
        <f>EOMONTH(G10,-3)</f>
        <v>43373</v>
      </c>
      <c r="I10" s="33">
        <f t="shared" ref="I10:J10" si="0">EOMONTH(H10,-3)</f>
        <v>43281</v>
      </c>
      <c r="J10" s="33">
        <f t="shared" si="0"/>
        <v>43190</v>
      </c>
    </row>
    <row r="12" spans="1:17" x14ac:dyDescent="0.2">
      <c r="A12" s="15" t="s">
        <v>35</v>
      </c>
      <c r="B12" s="19">
        <v>223.858</v>
      </c>
      <c r="C12" s="19">
        <v>265.71100000000001</v>
      </c>
      <c r="D12" s="19">
        <v>271.84399999999999</v>
      </c>
      <c r="E12" s="19">
        <v>282.39499999999998</v>
      </c>
      <c r="F12" s="19">
        <v>239.916</v>
      </c>
      <c r="G12" s="19">
        <v>234.15399999999988</v>
      </c>
      <c r="H12" s="19">
        <v>220.64500000000001</v>
      </c>
      <c r="I12" s="19">
        <v>222.63900000000001</v>
      </c>
      <c r="J12" s="19">
        <v>184.75800000000001</v>
      </c>
    </row>
    <row r="13" spans="1:17" s="28" customFormat="1" x14ac:dyDescent="0.2">
      <c r="A13" s="28" t="s">
        <v>34</v>
      </c>
      <c r="B13" s="28">
        <f>+B12/F12-1</f>
        <v>-6.6931759449140538E-2</v>
      </c>
      <c r="C13" s="28">
        <f>+C12/G12-1</f>
        <v>0.13477027938877906</v>
      </c>
      <c r="D13" s="28">
        <f>+D12/H12-1</f>
        <v>0.23204242108364115</v>
      </c>
      <c r="E13" s="28">
        <f>+E12/I12-1</f>
        <v>0.26839861839120704</v>
      </c>
      <c r="F13" s="28">
        <f>+F12/J12-1</f>
        <v>0.29854187640048058</v>
      </c>
      <c r="K13" s="1"/>
      <c r="L13" s="1"/>
      <c r="M13" s="1"/>
      <c r="N13" s="1"/>
      <c r="O13" s="1"/>
      <c r="P13" s="1"/>
      <c r="Q13" s="1"/>
    </row>
    <row r="14" spans="1:17" s="23" customFormat="1" x14ac:dyDescent="0.2">
      <c r="A14" s="31" t="s">
        <v>33</v>
      </c>
      <c r="B14" s="32" t="s">
        <v>32</v>
      </c>
      <c r="C14" s="32" t="s">
        <v>32</v>
      </c>
      <c r="D14" s="32" t="s">
        <v>32</v>
      </c>
      <c r="E14" s="32" t="s">
        <v>32</v>
      </c>
      <c r="F14" s="32" t="s">
        <v>32</v>
      </c>
      <c r="G14" s="32"/>
      <c r="H14" s="32"/>
      <c r="I14" s="32"/>
      <c r="J14" s="32"/>
    </row>
    <row r="16" spans="1:17" s="22" customFormat="1" x14ac:dyDescent="0.2">
      <c r="A16" s="30" t="s">
        <v>31</v>
      </c>
      <c r="B16" s="29">
        <v>-26.998999999999949</v>
      </c>
      <c r="C16" s="29">
        <v>-4.3259999999999694</v>
      </c>
      <c r="D16" s="29">
        <v>6.4259999999999771</v>
      </c>
      <c r="E16" s="29">
        <v>25.344999999999995</v>
      </c>
      <c r="F16" s="29">
        <v>6.9240000000000004</v>
      </c>
      <c r="G16" s="29">
        <v>6.5559999999998695</v>
      </c>
      <c r="H16" s="29">
        <v>10.766000000000016</v>
      </c>
      <c r="I16" s="29">
        <v>23.668999999999997</v>
      </c>
      <c r="J16" s="29">
        <v>0.29499999999999482</v>
      </c>
    </row>
    <row r="17" spans="1:10" s="28" customFormat="1" x14ac:dyDescent="0.2">
      <c r="A17" s="28" t="s">
        <v>30</v>
      </c>
      <c r="B17" s="28">
        <f t="shared" ref="B17" si="1">+B16/B12</f>
        <v>-0.12060770667119311</v>
      </c>
      <c r="C17" s="28">
        <f t="shared" ref="C17:J17" si="2">+C16/C12</f>
        <v>-1.6280846483585434E-2</v>
      </c>
      <c r="D17" s="28">
        <f t="shared" si="2"/>
        <v>2.3638557407925049E-2</v>
      </c>
      <c r="E17" s="28">
        <f t="shared" si="2"/>
        <v>8.9750172630535238E-2</v>
      </c>
      <c r="F17" s="28">
        <f t="shared" si="2"/>
        <v>2.8860101035362379E-2</v>
      </c>
      <c r="G17" s="28">
        <f t="shared" si="2"/>
        <v>2.7998667543581886E-2</v>
      </c>
      <c r="H17" s="28">
        <f t="shared" si="2"/>
        <v>4.8793310521425888E-2</v>
      </c>
      <c r="I17" s="28">
        <f t="shared" si="2"/>
        <v>0.10631111350661832</v>
      </c>
      <c r="J17" s="28">
        <f t="shared" si="2"/>
        <v>1.5966832288723347E-3</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f t="shared" ref="B21" si="3">B22-B16-B19-B20</f>
        <v>30.514999999999951</v>
      </c>
      <c r="C21" s="19">
        <f t="shared" ref="C21:D21" si="4">C22-C16-C19-C20</f>
        <v>22.354999999999968</v>
      </c>
      <c r="D21" s="19">
        <f t="shared" si="4"/>
        <v>17.689700000000023</v>
      </c>
      <c r="E21" s="19">
        <f t="shared" ref="E21:J21" si="5">E22-E16-E19-E20</f>
        <v>16.281000000000002</v>
      </c>
      <c r="F21" s="19">
        <f t="shared" si="5"/>
        <v>9.7110000000000021</v>
      </c>
      <c r="G21" s="19">
        <f t="shared" si="5"/>
        <v>13.570000000000132</v>
      </c>
      <c r="H21" s="19">
        <f t="shared" si="5"/>
        <v>16.128999999999984</v>
      </c>
      <c r="I21" s="19">
        <f t="shared" si="5"/>
        <v>10.925000000000004</v>
      </c>
      <c r="J21" s="19">
        <f t="shared" si="5"/>
        <v>0</v>
      </c>
    </row>
    <row r="22" spans="1:10" s="22" customFormat="1" x14ac:dyDescent="0.2">
      <c r="A22" s="22" t="s">
        <v>23</v>
      </c>
      <c r="B22" s="20">
        <v>3.5160000000000018</v>
      </c>
      <c r="C22" s="20">
        <v>18.029</v>
      </c>
      <c r="D22" s="20">
        <v>24.1157</v>
      </c>
      <c r="E22" s="20">
        <v>41.625999999999998</v>
      </c>
      <c r="F22" s="20">
        <v>16.635000000000002</v>
      </c>
      <c r="G22" s="20">
        <v>20.126000000000001</v>
      </c>
      <c r="H22" s="20">
        <v>26.895</v>
      </c>
      <c r="I22" s="20">
        <v>34.594000000000001</v>
      </c>
      <c r="J22" s="20">
        <v>0.29499999999999482</v>
      </c>
    </row>
    <row r="23" spans="1:10" s="22" customFormat="1" x14ac:dyDescent="0.2">
      <c r="B23" s="20"/>
      <c r="C23" s="20"/>
      <c r="D23" s="20"/>
      <c r="E23" s="20"/>
      <c r="F23" s="20"/>
      <c r="G23" s="20"/>
      <c r="H23" s="20"/>
      <c r="I23" s="20"/>
      <c r="J23" s="20"/>
    </row>
    <row r="24" spans="1:10" s="22" customFormat="1" x14ac:dyDescent="0.2">
      <c r="A24" s="22" t="s">
        <v>27</v>
      </c>
      <c r="B24" s="20">
        <f t="shared" ref="B24:G24" si="6">SUM(B22:E22)</f>
        <v>87.286699999999996</v>
      </c>
      <c r="C24" s="20">
        <f t="shared" si="6"/>
        <v>100.40570000000001</v>
      </c>
      <c r="D24" s="20">
        <f t="shared" si="6"/>
        <v>102.5027</v>
      </c>
      <c r="E24" s="20">
        <f t="shared" si="6"/>
        <v>105.282</v>
      </c>
      <c r="F24" s="20">
        <f t="shared" si="6"/>
        <v>98.25</v>
      </c>
      <c r="G24" s="20">
        <f t="shared" si="6"/>
        <v>81.910000000000011</v>
      </c>
      <c r="H24" s="20"/>
      <c r="I24" s="20"/>
      <c r="J24" s="20"/>
    </row>
    <row r="25" spans="1:10" s="23" customFormat="1" x14ac:dyDescent="0.2">
      <c r="A25" s="15" t="s">
        <v>26</v>
      </c>
      <c r="B25" s="27">
        <f>105.24-B24</f>
        <v>17.953299999999999</v>
      </c>
      <c r="C25" s="27">
        <f>117.683-C24</f>
        <v>17.277299999999997</v>
      </c>
      <c r="D25" s="27">
        <f>116.049-D24</f>
        <v>13.546300000000002</v>
      </c>
      <c r="E25" s="27">
        <f>123.781-E24</f>
        <v>18.499000000000009</v>
      </c>
      <c r="F25" s="27">
        <f>121.973-F24</f>
        <v>23.722999999999999</v>
      </c>
      <c r="G25" s="27">
        <f>G47-G24</f>
        <v>31.289999999999992</v>
      </c>
      <c r="H25" s="27"/>
      <c r="I25" s="27"/>
      <c r="J25" s="27"/>
    </row>
    <row r="26" spans="1:10" s="23" customFormat="1" x14ac:dyDescent="0.2">
      <c r="A26" s="15" t="s">
        <v>25</v>
      </c>
      <c r="B26" s="21">
        <v>0</v>
      </c>
      <c r="C26" s="21">
        <v>0</v>
      </c>
      <c r="D26" s="21">
        <v>0</v>
      </c>
      <c r="E26" s="21">
        <v>0</v>
      </c>
      <c r="F26" s="21">
        <v>0</v>
      </c>
      <c r="G26" s="21">
        <v>0</v>
      </c>
      <c r="H26" s="21"/>
      <c r="I26" s="21"/>
      <c r="J26" s="21"/>
    </row>
    <row r="27" spans="1:10" s="24" customFormat="1" x14ac:dyDescent="0.2">
      <c r="A27" s="22" t="s">
        <v>24</v>
      </c>
      <c r="B27" s="20">
        <f t="shared" ref="B27:G27" si="7">B24+B25+B26</f>
        <v>105.24</v>
      </c>
      <c r="C27" s="20">
        <f t="shared" si="7"/>
        <v>117.68300000000001</v>
      </c>
      <c r="D27" s="20">
        <f t="shared" si="7"/>
        <v>116.04900000000001</v>
      </c>
      <c r="E27" s="20">
        <f t="shared" si="7"/>
        <v>123.78100000000001</v>
      </c>
      <c r="F27" s="20">
        <f t="shared" si="7"/>
        <v>121.973</v>
      </c>
      <c r="G27" s="20">
        <f t="shared" si="7"/>
        <v>113.2</v>
      </c>
      <c r="H27" s="20"/>
      <c r="I27" s="20"/>
      <c r="J27" s="20"/>
    </row>
    <row r="28" spans="1:10" s="23" customFormat="1" x14ac:dyDescent="0.2"/>
    <row r="29" spans="1:10" s="22" customFormat="1" x14ac:dyDescent="0.2">
      <c r="A29" s="22" t="s">
        <v>23</v>
      </c>
      <c r="B29" s="20">
        <f t="shared" ref="B29" si="8">B22</f>
        <v>3.5160000000000018</v>
      </c>
      <c r="C29" s="20">
        <f t="shared" ref="C29:E29" si="9">C22</f>
        <v>18.029</v>
      </c>
      <c r="D29" s="20">
        <f t="shared" si="9"/>
        <v>24.1157</v>
      </c>
      <c r="E29" s="20">
        <f t="shared" si="9"/>
        <v>41.625999999999998</v>
      </c>
      <c r="F29" s="20">
        <f t="shared" ref="F29:H29" si="10">F22</f>
        <v>16.635000000000002</v>
      </c>
      <c r="G29" s="20">
        <f t="shared" si="10"/>
        <v>20.126000000000001</v>
      </c>
      <c r="H29" s="20">
        <f t="shared" si="10"/>
        <v>26.895</v>
      </c>
      <c r="I29" s="20">
        <f t="shared" ref="I29:J29" si="11">I22</f>
        <v>34.594000000000001</v>
      </c>
      <c r="J29" s="20">
        <f t="shared" si="11"/>
        <v>0.29499999999999482</v>
      </c>
    </row>
    <row r="30" spans="1:10" s="11" customFormat="1" x14ac:dyDescent="0.2">
      <c r="A30" s="19" t="s">
        <v>22</v>
      </c>
      <c r="B30" s="19">
        <v>-11.849</v>
      </c>
      <c r="C30" s="19">
        <v>-3.0949999999999953</v>
      </c>
      <c r="D30" s="19">
        <v>-9.5380000000000003</v>
      </c>
      <c r="E30" s="19">
        <v>-9.6769999999999996</v>
      </c>
      <c r="F30" s="19">
        <v>-10.935</v>
      </c>
      <c r="G30" s="19">
        <v>-9.7759999999999998</v>
      </c>
      <c r="H30" s="19">
        <v>-9.0920000000000005</v>
      </c>
      <c r="I30" s="19">
        <v>-8.0169999999999995</v>
      </c>
      <c r="J30" s="19">
        <v>-7.7279999999999998</v>
      </c>
    </row>
    <row r="31" spans="1:10" s="11" customFormat="1" x14ac:dyDescent="0.2">
      <c r="A31" s="19" t="s">
        <v>21</v>
      </c>
      <c r="B31" s="19">
        <v>-1.3779999999999999</v>
      </c>
      <c r="C31" s="19">
        <v>-0.68499999999999994</v>
      </c>
      <c r="D31" s="19">
        <v>-8.5999999999999993E-2</v>
      </c>
      <c r="E31" s="19">
        <v>0.34699999999999998</v>
      </c>
      <c r="F31" s="19">
        <v>-3.4000000000000002E-2</v>
      </c>
      <c r="G31" s="19">
        <v>-4.6150000000000002</v>
      </c>
      <c r="H31" s="19">
        <v>0.51100000000000001</v>
      </c>
      <c r="I31" s="19">
        <v>-0.161</v>
      </c>
      <c r="J31" s="19">
        <v>-1.2E-2</v>
      </c>
    </row>
    <row r="32" spans="1:10" s="11" customFormat="1" x14ac:dyDescent="0.2">
      <c r="A32" s="19" t="s">
        <v>20</v>
      </c>
      <c r="B32" s="19">
        <v>-12.547000000000004</v>
      </c>
      <c r="C32" s="19">
        <v>17.535999999999998</v>
      </c>
      <c r="D32" s="19">
        <v>-5.828999999999998</v>
      </c>
      <c r="E32" s="19">
        <v>14.478000000000002</v>
      </c>
      <c r="F32" s="19">
        <v>-10.565000000000001</v>
      </c>
      <c r="G32" s="19">
        <v>3.3910000000000089</v>
      </c>
      <c r="H32" s="19">
        <v>-4.0360000000000005</v>
      </c>
      <c r="I32" s="19">
        <v>10.557000000000002</v>
      </c>
      <c r="J32" s="19">
        <v>-16.444999999999997</v>
      </c>
    </row>
    <row r="33" spans="1:10" s="11" customFormat="1" x14ac:dyDescent="0.2">
      <c r="A33" s="19" t="s">
        <v>19</v>
      </c>
      <c r="B33" s="19">
        <f t="shared" ref="B33:C33" si="12">-B21-B20-B19</f>
        <v>-30.514999999999951</v>
      </c>
      <c r="C33" s="19">
        <f t="shared" si="12"/>
        <v>-22.354999999999968</v>
      </c>
      <c r="D33" s="19">
        <f t="shared" ref="D33:J33" si="13">-D21-D20-D19</f>
        <v>-17.689700000000023</v>
      </c>
      <c r="E33" s="19">
        <f t="shared" si="13"/>
        <v>-16.281000000000002</v>
      </c>
      <c r="F33" s="19">
        <f t="shared" si="13"/>
        <v>-9.7110000000000021</v>
      </c>
      <c r="G33" s="19">
        <f t="shared" si="13"/>
        <v>-13.570000000000132</v>
      </c>
      <c r="H33" s="19">
        <f t="shared" si="13"/>
        <v>-16.128999999999984</v>
      </c>
      <c r="I33" s="19">
        <f t="shared" si="13"/>
        <v>-10.925000000000004</v>
      </c>
      <c r="J33" s="19">
        <f t="shared" si="13"/>
        <v>0</v>
      </c>
    </row>
    <row r="34" spans="1:10" s="11" customFormat="1" x14ac:dyDescent="0.2">
      <c r="A34" s="19" t="s">
        <v>18</v>
      </c>
      <c r="B34" s="21">
        <f t="shared" ref="B34:C34" si="14">B35-B29-B30-B31-B32-B33</f>
        <v>2.5899999999999608</v>
      </c>
      <c r="C34" s="21">
        <f t="shared" si="14"/>
        <v>-3.3940000000000339</v>
      </c>
      <c r="D34" s="21">
        <f t="shared" ref="D34:J34" si="15">D35-D29-D30-D31-D32-D33</f>
        <v>2.4310000000000187</v>
      </c>
      <c r="E34" s="21">
        <f t="shared" si="15"/>
        <v>0.96200000000000152</v>
      </c>
      <c r="F34" s="21">
        <f t="shared" si="15"/>
        <v>0.14100000000000534</v>
      </c>
      <c r="G34" s="21">
        <f t="shared" si="15"/>
        <v>2.8030000000001234</v>
      </c>
      <c r="H34" s="21">
        <f t="shared" si="15"/>
        <v>4.0229999999999855</v>
      </c>
      <c r="I34" s="21">
        <f t="shared" si="15"/>
        <v>2.5630000000000006</v>
      </c>
      <c r="J34" s="21">
        <f t="shared" si="15"/>
        <v>0.56300000000000061</v>
      </c>
    </row>
    <row r="35" spans="1:10" s="20" customFormat="1" x14ac:dyDescent="0.2">
      <c r="A35" s="20" t="s">
        <v>17</v>
      </c>
      <c r="B35" s="20">
        <v>-50.183</v>
      </c>
      <c r="C35" s="20">
        <v>6.0360000000000014</v>
      </c>
      <c r="D35" s="20">
        <v>-6.5960000000000001</v>
      </c>
      <c r="E35" s="20">
        <v>31.454999999999998</v>
      </c>
      <c r="F35" s="20">
        <v>-14.468999999999999</v>
      </c>
      <c r="G35" s="20">
        <v>-1.6409999999999991</v>
      </c>
      <c r="H35" s="20">
        <v>2.1720000000000002</v>
      </c>
      <c r="I35" s="20">
        <v>28.611000000000001</v>
      </c>
      <c r="J35" s="20">
        <v>-23.327000000000002</v>
      </c>
    </row>
    <row r="36" spans="1:10" s="11" customFormat="1" x14ac:dyDescent="0.2">
      <c r="A36" s="19" t="s">
        <v>16</v>
      </c>
      <c r="B36" s="21">
        <v>-28.521999999999998</v>
      </c>
      <c r="C36" s="21">
        <v>12.244999999999976</v>
      </c>
      <c r="D36" s="21">
        <v>-85.043999999999997</v>
      </c>
      <c r="E36" s="21">
        <v>-75.811999999999998</v>
      </c>
      <c r="F36" s="21">
        <v>-89.971999999999994</v>
      </c>
      <c r="G36" s="21">
        <v>-75.646999999999991</v>
      </c>
      <c r="H36" s="21">
        <v>-90.147999999999996</v>
      </c>
      <c r="I36" s="21">
        <v>-99.941000000000003</v>
      </c>
      <c r="J36" s="21">
        <v>-81.284000000000006</v>
      </c>
    </row>
    <row r="37" spans="1:10" s="20" customFormat="1" x14ac:dyDescent="0.2">
      <c r="A37" s="20" t="s">
        <v>15</v>
      </c>
      <c r="B37" s="20">
        <f t="shared" ref="B37:J37" si="16">+B35+B36</f>
        <v>-78.704999999999998</v>
      </c>
      <c r="C37" s="20">
        <f t="shared" si="16"/>
        <v>18.280999999999977</v>
      </c>
      <c r="D37" s="20">
        <f t="shared" si="16"/>
        <v>-91.64</v>
      </c>
      <c r="E37" s="20">
        <f t="shared" si="16"/>
        <v>-44.356999999999999</v>
      </c>
      <c r="F37" s="20">
        <f t="shared" si="16"/>
        <v>-104.44099999999999</v>
      </c>
      <c r="G37" s="20">
        <f t="shared" si="16"/>
        <v>-77.287999999999997</v>
      </c>
      <c r="H37" s="20">
        <f t="shared" si="16"/>
        <v>-87.975999999999999</v>
      </c>
      <c r="I37" s="20">
        <f t="shared" si="16"/>
        <v>-71.33</v>
      </c>
      <c r="J37" s="20">
        <f t="shared" si="16"/>
        <v>-104.611</v>
      </c>
    </row>
    <row r="39" spans="1:10" s="16" customFormat="1" x14ac:dyDescent="0.2">
      <c r="A39" s="18" t="s">
        <v>14</v>
      </c>
      <c r="B39" s="19">
        <v>160</v>
      </c>
      <c r="C39" s="19">
        <v>30</v>
      </c>
      <c r="D39" s="19">
        <v>30</v>
      </c>
      <c r="E39" s="19">
        <v>0</v>
      </c>
      <c r="F39" s="19">
        <v>0</v>
      </c>
      <c r="G39" s="19">
        <v>0</v>
      </c>
      <c r="H39" s="19"/>
      <c r="I39" s="19"/>
      <c r="J39" s="19"/>
    </row>
    <row r="40" spans="1:10" s="16" customFormat="1" x14ac:dyDescent="0.2">
      <c r="A40" s="18" t="s">
        <v>13</v>
      </c>
      <c r="B40" s="19">
        <f>346.5+54.68</f>
        <v>401.18</v>
      </c>
      <c r="C40" s="19">
        <f>347.375+47.242</f>
        <v>394.61700000000002</v>
      </c>
      <c r="D40" s="19">
        <f>349.125+54.199</f>
        <v>403.32400000000001</v>
      </c>
      <c r="E40" s="19">
        <f>349.125+47.423+6.292</f>
        <v>402.84</v>
      </c>
      <c r="F40" s="19">
        <f>350+47.509+6.507</f>
        <v>404.01600000000002</v>
      </c>
      <c r="G40" s="19">
        <f>325+48+6</f>
        <v>379</v>
      </c>
      <c r="H40" s="19"/>
      <c r="I40" s="19"/>
      <c r="J40" s="19"/>
    </row>
    <row r="41" spans="1:10" s="16" customFormat="1" x14ac:dyDescent="0.2">
      <c r="A41" s="18" t="s">
        <v>12</v>
      </c>
      <c r="B41" s="19">
        <f t="shared" ref="B41:G41" si="17">B39+B40</f>
        <v>561.18000000000006</v>
      </c>
      <c r="C41" s="19">
        <f t="shared" si="17"/>
        <v>424.61700000000002</v>
      </c>
      <c r="D41" s="19">
        <f t="shared" si="17"/>
        <v>433.32400000000001</v>
      </c>
      <c r="E41" s="19">
        <f t="shared" si="17"/>
        <v>402.84</v>
      </c>
      <c r="F41" s="19">
        <f t="shared" si="17"/>
        <v>404.01600000000002</v>
      </c>
      <c r="G41" s="19">
        <f t="shared" si="17"/>
        <v>379</v>
      </c>
      <c r="H41" s="19"/>
      <c r="I41" s="19"/>
      <c r="J41" s="19"/>
    </row>
    <row r="42" spans="1:10" s="16" customFormat="1" x14ac:dyDescent="0.2">
      <c r="A42" s="18" t="s">
        <v>11</v>
      </c>
      <c r="B42" s="17">
        <v>2472</v>
      </c>
      <c r="C42" s="17">
        <v>2472</v>
      </c>
      <c r="D42" s="17">
        <v>2472</v>
      </c>
      <c r="E42" s="17">
        <v>2472</v>
      </c>
      <c r="F42" s="17">
        <v>2472</v>
      </c>
      <c r="G42" s="17">
        <v>2472</v>
      </c>
      <c r="H42" s="17"/>
      <c r="I42" s="17"/>
      <c r="J42" s="17"/>
    </row>
    <row r="43" spans="1:10" x14ac:dyDescent="0.2">
      <c r="B43" s="16"/>
      <c r="C43" s="16"/>
      <c r="D43" s="16"/>
      <c r="E43" s="16"/>
      <c r="F43" s="16"/>
      <c r="G43" s="16"/>
      <c r="H43" s="16"/>
      <c r="I43" s="16"/>
    </row>
    <row r="44" spans="1:10" x14ac:dyDescent="0.2">
      <c r="A44" s="15" t="s">
        <v>10</v>
      </c>
      <c r="B44" s="27">
        <v>102.425</v>
      </c>
      <c r="C44" s="27">
        <v>37.244</v>
      </c>
      <c r="D44" s="27">
        <v>26.29</v>
      </c>
      <c r="E44" s="27">
        <v>57.95</v>
      </c>
      <c r="F44" s="27">
        <v>91.117999999999995</v>
      </c>
      <c r="G44" s="27">
        <v>151</v>
      </c>
      <c r="H44" s="27"/>
      <c r="I44" s="27"/>
      <c r="J44" s="27"/>
    </row>
    <row r="46" spans="1:10" x14ac:dyDescent="0.2">
      <c r="A46" s="1" t="s">
        <v>9</v>
      </c>
      <c r="B46" s="13">
        <f>SUM(B12:E12)</f>
        <v>1043.808</v>
      </c>
      <c r="C46" s="13">
        <f>SUM(C12:F12)</f>
        <v>1059.866</v>
      </c>
      <c r="D46" s="13">
        <f>SUM(D12:G12)</f>
        <v>1028.3089999999997</v>
      </c>
      <c r="E46" s="13">
        <f>SUM(E12:H12)</f>
        <v>977.10999999999979</v>
      </c>
      <c r="F46" s="13">
        <f>SUM(F12:I12)</f>
        <v>917.35399999999993</v>
      </c>
      <c r="G46" s="12">
        <v>859</v>
      </c>
      <c r="H46" s="11"/>
      <c r="I46" s="11"/>
      <c r="J46" s="11"/>
    </row>
    <row r="47" spans="1:10" x14ac:dyDescent="0.2">
      <c r="A47" s="1" t="s">
        <v>8</v>
      </c>
      <c r="B47" s="13">
        <f>B27</f>
        <v>105.24</v>
      </c>
      <c r="C47" s="13">
        <f>C27</f>
        <v>117.68300000000001</v>
      </c>
      <c r="D47" s="13">
        <f>D27</f>
        <v>116.04900000000001</v>
      </c>
      <c r="E47" s="13">
        <f>E27</f>
        <v>123.78100000000001</v>
      </c>
      <c r="F47" s="13">
        <f>F27</f>
        <v>121.973</v>
      </c>
      <c r="G47" s="12">
        <v>113.2</v>
      </c>
      <c r="H47" s="11"/>
      <c r="I47" s="11"/>
      <c r="J47" s="11"/>
    </row>
    <row r="48" spans="1:10" x14ac:dyDescent="0.2">
      <c r="A48" s="1" t="s">
        <v>7</v>
      </c>
      <c r="B48" s="13">
        <f>SUM(B37:E37)</f>
        <v>-196.42100000000002</v>
      </c>
      <c r="C48" s="13">
        <f>SUM(C37:F37)</f>
        <v>-222.15700000000001</v>
      </c>
      <c r="D48" s="13">
        <f>SUM(D37:G37)</f>
        <v>-317.726</v>
      </c>
      <c r="E48" s="13">
        <f>SUM(E37:H37)</f>
        <v>-314.06200000000001</v>
      </c>
      <c r="F48" s="13">
        <f>SUM(F37:I37)</f>
        <v>-341.03499999999997</v>
      </c>
      <c r="G48" s="12">
        <v>-115.03374999999998</v>
      </c>
      <c r="H48" s="11"/>
      <c r="I48" s="11"/>
      <c r="J48" s="11"/>
    </row>
    <row r="50" spans="1:10" s="10" customFormat="1" x14ac:dyDescent="0.2">
      <c r="A50" s="10" t="s">
        <v>6</v>
      </c>
      <c r="B50" s="10">
        <f t="shared" ref="B50:G50" si="18">+SUM(B39:B40)/B47</f>
        <v>5.3323831242873441</v>
      </c>
      <c r="C50" s="10">
        <f t="shared" si="18"/>
        <v>3.6081422125540645</v>
      </c>
      <c r="D50" s="10">
        <f t="shared" si="18"/>
        <v>3.7339744418306058</v>
      </c>
      <c r="E50" s="10">
        <f t="shared" si="18"/>
        <v>3.2544574692400285</v>
      </c>
      <c r="F50" s="10">
        <f t="shared" si="18"/>
        <v>3.3123396161445569</v>
      </c>
      <c r="G50" s="10">
        <f t="shared" si="18"/>
        <v>3.3480565371024733</v>
      </c>
    </row>
    <row r="51" spans="1:10" s="10" customFormat="1" x14ac:dyDescent="0.2">
      <c r="A51" s="10" t="s">
        <v>5</v>
      </c>
      <c r="B51" s="10">
        <f t="shared" ref="B51:G51" si="19">+B41/B47</f>
        <v>5.3323831242873441</v>
      </c>
      <c r="C51" s="10">
        <f t="shared" si="19"/>
        <v>3.6081422125540645</v>
      </c>
      <c r="D51" s="10">
        <f t="shared" si="19"/>
        <v>3.7339744418306058</v>
      </c>
      <c r="E51" s="10">
        <f t="shared" si="19"/>
        <v>3.2544574692400285</v>
      </c>
      <c r="F51" s="10">
        <f t="shared" si="19"/>
        <v>3.3123396161445569</v>
      </c>
      <c r="G51" s="10">
        <f t="shared" si="19"/>
        <v>3.3480565371024733</v>
      </c>
    </row>
    <row r="52" spans="1:10" s="10" customFormat="1" x14ac:dyDescent="0.2">
      <c r="A52" s="10" t="s">
        <v>4</v>
      </c>
      <c r="B52" s="10">
        <f t="shared" ref="B52:G52" si="20">+(B41-B44)/B47</f>
        <v>4.3591315089319655</v>
      </c>
      <c r="C52" s="10">
        <f t="shared" si="20"/>
        <v>3.2916648963741579</v>
      </c>
      <c r="D52" s="10">
        <f t="shared" si="20"/>
        <v>3.5074322053615279</v>
      </c>
      <c r="E52" s="10">
        <f t="shared" si="20"/>
        <v>2.7862919187920601</v>
      </c>
      <c r="F52" s="10">
        <f t="shared" si="20"/>
        <v>2.5653054364490506</v>
      </c>
      <c r="G52" s="10">
        <f t="shared" si="20"/>
        <v>2.0141342756183747</v>
      </c>
    </row>
    <row r="53" spans="1:10" s="6" customFormat="1" x14ac:dyDescent="0.2">
      <c r="A53" s="6" t="s">
        <v>3</v>
      </c>
      <c r="B53" s="6">
        <f t="shared" ref="B53:G53" si="21">+B48/B41</f>
        <v>-0.35001425567554084</v>
      </c>
      <c r="C53" s="6">
        <f t="shared" si="21"/>
        <v>-0.52319384292197435</v>
      </c>
      <c r="D53" s="6">
        <f t="shared" si="21"/>
        <v>-0.73322963879222014</v>
      </c>
      <c r="E53" s="6">
        <f t="shared" si="21"/>
        <v>-0.77961970012908355</v>
      </c>
      <c r="F53" s="6">
        <f t="shared" si="21"/>
        <v>-0.84411260940160771</v>
      </c>
      <c r="G53" s="6">
        <f t="shared" si="21"/>
        <v>-0.30351912928759889</v>
      </c>
    </row>
    <row r="54" spans="1:10" s="6" customFormat="1" x14ac:dyDescent="0.2">
      <c r="A54" s="8" t="s">
        <v>2</v>
      </c>
      <c r="B54" s="9"/>
      <c r="C54" s="9"/>
      <c r="D54" s="9"/>
      <c r="E54" s="9"/>
      <c r="F54" s="9"/>
      <c r="G54" s="9"/>
      <c r="H54" s="9"/>
      <c r="I54" s="9"/>
      <c r="J54" s="9"/>
    </row>
    <row r="55" spans="1:10" s="6" customFormat="1" x14ac:dyDescent="0.2">
      <c r="A55" s="6" t="s">
        <v>1</v>
      </c>
      <c r="B55" s="7">
        <f t="shared" ref="B55:G55" si="22">IF(B42=0,IF(B54="","","*"&amp;TEXT(B54,"0.0x")),(B41+B42-B44)/B47)</f>
        <v>27.848299125807682</v>
      </c>
      <c r="C55" s="7">
        <f t="shared" si="22"/>
        <v>24.297247690830449</v>
      </c>
      <c r="D55" s="7">
        <f t="shared" si="22"/>
        <v>24.808779050228782</v>
      </c>
      <c r="E55" s="7">
        <f t="shared" si="22"/>
        <v>22.757046719609633</v>
      </c>
      <c r="F55" s="7">
        <f t="shared" si="22"/>
        <v>22.832085789478</v>
      </c>
      <c r="G55" s="7">
        <f t="shared" si="22"/>
        <v>23.851590106007066</v>
      </c>
      <c r="H55" s="7"/>
      <c r="I55" s="7"/>
      <c r="J55" s="7"/>
    </row>
    <row r="57" spans="1:10" ht="80.25" customHeight="1" x14ac:dyDescent="0.2">
      <c r="A57" s="5" t="s">
        <v>0</v>
      </c>
      <c r="B57" s="4" t="s">
        <v>104</v>
      </c>
      <c r="C57" s="4" t="s">
        <v>104</v>
      </c>
      <c r="D57" s="4" t="s">
        <v>104</v>
      </c>
      <c r="E57" s="4" t="s">
        <v>104</v>
      </c>
      <c r="F57" s="4" t="s">
        <v>104</v>
      </c>
      <c r="G57" s="4" t="s">
        <v>104</v>
      </c>
      <c r="H57" s="4"/>
      <c r="I57" s="4"/>
      <c r="J57" s="4"/>
    </row>
    <row r="58" spans="1:10" x14ac:dyDescent="0.2">
      <c r="A58" s="2"/>
      <c r="B58" s="3"/>
      <c r="C58" s="3"/>
      <c r="D58" s="3"/>
      <c r="E58" s="3"/>
      <c r="F58" s="3"/>
      <c r="G58" s="3"/>
    </row>
    <row r="59" spans="1:10" x14ac:dyDescent="0.2">
      <c r="A59" s="2"/>
    </row>
  </sheetData>
  <pageMargins left="0.7" right="0.7" top="0.75" bottom="0.75" header="0.3" footer="0.3"/>
  <pageSetup orientation="portrait" r:id="rId1"/>
  <ignoredErrors>
    <ignoredError sqref="C24:G28 C46:G52 B24" formulaRange="1"/>
  </ignoredErrors>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9" width="10.7109375" style="1" customWidth="1"/>
    <col min="20" max="16384" width="9.140625" style="1"/>
  </cols>
  <sheetData>
    <row r="2" spans="1:19" x14ac:dyDescent="0.2">
      <c r="A2" s="34" t="s">
        <v>45</v>
      </c>
      <c r="B2" s="1" t="s">
        <v>276</v>
      </c>
    </row>
    <row r="3" spans="1:19" s="35" customFormat="1" x14ac:dyDescent="0.2">
      <c r="A3" s="36" t="s">
        <v>43</v>
      </c>
      <c r="B3" s="35" t="s">
        <v>278</v>
      </c>
    </row>
    <row r="4" spans="1:19" x14ac:dyDescent="0.2">
      <c r="A4" s="34" t="s">
        <v>41</v>
      </c>
      <c r="B4" s="1" t="s">
        <v>40</v>
      </c>
    </row>
    <row r="5" spans="1:19" x14ac:dyDescent="0.2">
      <c r="A5" s="34" t="s">
        <v>39</v>
      </c>
    </row>
    <row r="6" spans="1:19" x14ac:dyDescent="0.2">
      <c r="A6" s="34" t="s">
        <v>38</v>
      </c>
      <c r="B6" s="1">
        <v>2</v>
      </c>
    </row>
    <row r="7" spans="1:19" x14ac:dyDescent="0.2">
      <c r="A7" s="34" t="s">
        <v>37</v>
      </c>
      <c r="B7" s="1" t="s">
        <v>374</v>
      </c>
    </row>
    <row r="8" spans="1:19" x14ac:dyDescent="0.2">
      <c r="A8" s="34" t="s">
        <v>281</v>
      </c>
      <c r="B8" s="1" t="s">
        <v>285</v>
      </c>
    </row>
    <row r="9" spans="1:19" x14ac:dyDescent="0.2">
      <c r="A9" s="22"/>
    </row>
    <row r="10" spans="1:19" x14ac:dyDescent="0.2">
      <c r="A10" s="22" t="s">
        <v>36</v>
      </c>
      <c r="B10" s="33">
        <v>44377</v>
      </c>
      <c r="C10" s="33">
        <v>44286</v>
      </c>
      <c r="D10" s="33">
        <v>44196</v>
      </c>
      <c r="E10" s="33">
        <v>44104</v>
      </c>
      <c r="F10" s="33">
        <v>44012</v>
      </c>
      <c r="G10" s="33">
        <v>43921</v>
      </c>
      <c r="H10" s="33">
        <v>43830</v>
      </c>
      <c r="I10" s="33">
        <v>43738</v>
      </c>
      <c r="J10" s="33">
        <v>43646</v>
      </c>
      <c r="K10" s="33">
        <v>43555</v>
      </c>
      <c r="L10" s="33">
        <v>43465</v>
      </c>
      <c r="M10" s="33">
        <v>43373</v>
      </c>
      <c r="N10" s="33">
        <f>EOMONTH(M10,-3)</f>
        <v>43281</v>
      </c>
      <c r="O10" s="33">
        <f t="shared" ref="O10:S10" si="0">EOMONTH(N10,-3)</f>
        <v>43190</v>
      </c>
      <c r="P10" s="33">
        <f t="shared" si="0"/>
        <v>43100</v>
      </c>
      <c r="Q10" s="33">
        <f t="shared" si="0"/>
        <v>43008</v>
      </c>
      <c r="R10" s="33">
        <f t="shared" si="0"/>
        <v>42916</v>
      </c>
      <c r="S10" s="33">
        <f t="shared" si="0"/>
        <v>42825</v>
      </c>
    </row>
    <row r="11" spans="1:19" x14ac:dyDescent="0.2">
      <c r="B11" s="11"/>
      <c r="C11" s="11"/>
      <c r="D11" s="11"/>
      <c r="E11" s="11"/>
      <c r="F11" s="11"/>
      <c r="G11" s="11"/>
      <c r="H11" s="11"/>
      <c r="I11" s="11"/>
      <c r="J11" s="11"/>
      <c r="K11" s="11"/>
    </row>
    <row r="12" spans="1:19" x14ac:dyDescent="0.2">
      <c r="A12" s="15" t="s">
        <v>35</v>
      </c>
      <c r="B12" s="19">
        <v>476.00299999999999</v>
      </c>
      <c r="C12" s="19">
        <v>433.99299999999999</v>
      </c>
      <c r="D12" s="19">
        <v>501.07500000000005</v>
      </c>
      <c r="E12" s="19">
        <v>445.25500000000011</v>
      </c>
      <c r="F12" s="19">
        <v>394.57599999999996</v>
      </c>
      <c r="G12" s="19">
        <v>438.03199999999998</v>
      </c>
      <c r="H12" s="19"/>
      <c r="I12" s="19">
        <v>453.50200000000007</v>
      </c>
      <c r="J12" s="19">
        <v>434.887</v>
      </c>
      <c r="K12" s="19">
        <v>456.07900000000001</v>
      </c>
      <c r="L12" s="19">
        <v>633.60799999999995</v>
      </c>
      <c r="M12" s="19">
        <v>477.55900000000008</v>
      </c>
      <c r="N12" s="19">
        <v>428.65899999999999</v>
      </c>
      <c r="O12" s="19">
        <v>434.69200000000001</v>
      </c>
      <c r="P12" s="19">
        <v>544.01599999999985</v>
      </c>
      <c r="Q12" s="19">
        <v>408.68300000000011</v>
      </c>
      <c r="R12" s="19">
        <v>354.59100000000001</v>
      </c>
      <c r="S12" s="19">
        <v>360.55799999999999</v>
      </c>
    </row>
    <row r="13" spans="1:19" s="28" customFormat="1" x14ac:dyDescent="0.2">
      <c r="A13" s="28" t="s">
        <v>34</v>
      </c>
      <c r="B13" s="28">
        <f>+B12/F12-1</f>
        <v>0.20636582052633723</v>
      </c>
      <c r="C13" s="28">
        <f>+C12/G12-1</f>
        <v>-9.2207875223727642E-3</v>
      </c>
      <c r="E13" s="28">
        <f>+E12/I12-1</f>
        <v>-1.818514582074604E-2</v>
      </c>
      <c r="F13" s="28">
        <f>+F12/J12-1</f>
        <v>-9.269304440003967E-2</v>
      </c>
      <c r="G13" s="28">
        <f>+G12/K12-1</f>
        <v>-3.9569899074502479E-2</v>
      </c>
      <c r="I13" s="28">
        <f>+I12/M12-1</f>
        <v>-5.0374927495869692E-2</v>
      </c>
      <c r="J13" s="28">
        <f>+J12/N12-1</f>
        <v>1.4529031234617795E-2</v>
      </c>
      <c r="K13" s="28">
        <f>+K12/O12-1</f>
        <v>4.9200353353638926E-2</v>
      </c>
      <c r="L13" s="28">
        <f>+L12/P12-1</f>
        <v>0.16468633275491928</v>
      </c>
      <c r="M13" s="28">
        <f>+M12/Q12-1</f>
        <v>0.16853160028677472</v>
      </c>
      <c r="N13" s="28">
        <f t="shared" ref="N13:O13" si="1">+N12/R12-1</f>
        <v>0.20888291016974492</v>
      </c>
      <c r="O13" s="28">
        <f t="shared" si="1"/>
        <v>0.20560908369804576</v>
      </c>
    </row>
    <row r="14" spans="1:19" s="23" customFormat="1" x14ac:dyDescent="0.2">
      <c r="A14" s="31" t="s">
        <v>33</v>
      </c>
      <c r="B14" s="32" t="s">
        <v>32</v>
      </c>
      <c r="C14" s="32" t="s">
        <v>32</v>
      </c>
      <c r="D14" s="32"/>
      <c r="E14" s="32" t="s">
        <v>32</v>
      </c>
      <c r="F14" s="32" t="s">
        <v>32</v>
      </c>
      <c r="G14" s="32" t="s">
        <v>32</v>
      </c>
      <c r="H14" s="32"/>
      <c r="I14" s="32" t="s">
        <v>32</v>
      </c>
      <c r="J14" s="32" t="s">
        <v>32</v>
      </c>
      <c r="K14" s="32" t="s">
        <v>32</v>
      </c>
      <c r="L14" s="32" t="s">
        <v>32</v>
      </c>
      <c r="M14" s="32" t="s">
        <v>32</v>
      </c>
      <c r="N14" s="32" t="s">
        <v>32</v>
      </c>
      <c r="O14" s="32" t="s">
        <v>32</v>
      </c>
      <c r="P14" s="32"/>
      <c r="Q14" s="31"/>
      <c r="R14" s="31"/>
      <c r="S14" s="31"/>
    </row>
    <row r="15" spans="1:19" x14ac:dyDescent="0.2">
      <c r="B15" s="11"/>
      <c r="C15" s="11"/>
      <c r="D15" s="11"/>
      <c r="E15" s="11"/>
      <c r="F15" s="11"/>
      <c r="G15" s="11"/>
      <c r="H15" s="11"/>
      <c r="I15" s="11"/>
      <c r="J15" s="11"/>
      <c r="K15" s="11"/>
    </row>
    <row r="16" spans="1:19" s="22" customFormat="1" x14ac:dyDescent="0.2">
      <c r="A16" s="30" t="s">
        <v>31</v>
      </c>
      <c r="B16" s="29">
        <v>80.568000000000012</v>
      </c>
      <c r="C16" s="29">
        <v>43.131999999999998</v>
      </c>
      <c r="D16" s="29">
        <v>76.061000000000135</v>
      </c>
      <c r="E16" s="29">
        <v>44.313000000000059</v>
      </c>
      <c r="F16" s="29">
        <v>49.78700000000002</v>
      </c>
      <c r="G16" s="29">
        <v>40.453999999999965</v>
      </c>
      <c r="H16" s="29"/>
      <c r="I16" s="29">
        <v>40.533999999999985</v>
      </c>
      <c r="J16" s="29">
        <v>48.717000000000013</v>
      </c>
      <c r="K16" s="29">
        <v>50.329000000000022</v>
      </c>
      <c r="L16" s="29">
        <v>60.9</v>
      </c>
      <c r="M16" s="29">
        <v>54.454000000000036</v>
      </c>
      <c r="N16" s="29">
        <v>41.144999999999996</v>
      </c>
      <c r="O16" s="29">
        <v>34.190999999999974</v>
      </c>
      <c r="P16" s="29">
        <v>92.099999999999909</v>
      </c>
      <c r="Q16" s="29">
        <v>35.824000000000126</v>
      </c>
      <c r="R16" s="29">
        <v>28.322000000000003</v>
      </c>
      <c r="S16" s="29">
        <v>21.075999999999993</v>
      </c>
    </row>
    <row r="17" spans="1:19" s="28" customFormat="1" x14ac:dyDescent="0.2">
      <c r="A17" s="28" t="s">
        <v>30</v>
      </c>
      <c r="B17" s="28">
        <f t="shared" ref="B17:G17" si="2">+B16/B12</f>
        <v>0.16925943744052036</v>
      </c>
      <c r="C17" s="28">
        <f t="shared" si="2"/>
        <v>9.9384091448479581E-2</v>
      </c>
      <c r="D17" s="28">
        <f t="shared" si="2"/>
        <v>0.15179563937534327</v>
      </c>
      <c r="E17" s="28">
        <f t="shared" si="2"/>
        <v>9.952274539308946E-2</v>
      </c>
      <c r="F17" s="28">
        <f t="shared" si="2"/>
        <v>0.12617848019139538</v>
      </c>
      <c r="G17" s="28">
        <f t="shared" si="2"/>
        <v>9.2353983270628548E-2</v>
      </c>
      <c r="I17" s="28">
        <f>+I16/I12</f>
        <v>8.9379980683657351E-2</v>
      </c>
      <c r="J17" s="28">
        <f>+J16/J12</f>
        <v>0.11202220346894713</v>
      </c>
      <c r="K17" s="28">
        <f>+K16/K12</f>
        <v>0.11035149612238235</v>
      </c>
      <c r="L17" s="28">
        <f>+L16/L12</f>
        <v>9.6116210653905895E-2</v>
      </c>
      <c r="M17" s="28">
        <f>+M16/M12</f>
        <v>0.11402570153635473</v>
      </c>
      <c r="N17" s="28">
        <f t="shared" ref="N17:S17" si="3">+N16/N12</f>
        <v>9.5985386985925875E-2</v>
      </c>
      <c r="O17" s="28">
        <f t="shared" si="3"/>
        <v>7.8655691846180681E-2</v>
      </c>
      <c r="P17" s="28">
        <f t="shared" si="3"/>
        <v>0.16929649127966812</v>
      </c>
      <c r="Q17" s="28">
        <f t="shared" si="3"/>
        <v>8.7657181727647387E-2</v>
      </c>
      <c r="R17" s="28">
        <f t="shared" si="3"/>
        <v>7.9872303583565299E-2</v>
      </c>
      <c r="S17" s="28">
        <f t="shared" si="3"/>
        <v>5.8453840990908522E-2</v>
      </c>
    </row>
    <row r="18" spans="1:19" s="23" customFormat="1" x14ac:dyDescent="0.2"/>
    <row r="19" spans="1:19" s="23" customFormat="1" x14ac:dyDescent="0.2">
      <c r="A19" s="15" t="s">
        <v>29</v>
      </c>
      <c r="B19" s="19">
        <v>0</v>
      </c>
      <c r="C19" s="19">
        <v>0</v>
      </c>
      <c r="D19" s="19">
        <v>0</v>
      </c>
      <c r="E19" s="19">
        <v>0</v>
      </c>
      <c r="F19" s="19">
        <v>0</v>
      </c>
      <c r="G19" s="19">
        <v>0</v>
      </c>
      <c r="H19" s="19"/>
      <c r="I19" s="19">
        <v>0</v>
      </c>
      <c r="J19" s="19">
        <v>0</v>
      </c>
      <c r="K19" s="19">
        <v>0</v>
      </c>
      <c r="L19" s="19">
        <v>0</v>
      </c>
      <c r="M19" s="19">
        <v>0</v>
      </c>
      <c r="N19" s="19">
        <v>0</v>
      </c>
      <c r="O19" s="19">
        <v>0</v>
      </c>
      <c r="P19" s="19">
        <v>0</v>
      </c>
      <c r="Q19" s="19">
        <v>0</v>
      </c>
      <c r="R19" s="19">
        <v>0</v>
      </c>
      <c r="S19" s="19">
        <v>0</v>
      </c>
    </row>
    <row r="20" spans="1:19" s="23" customFormat="1" x14ac:dyDescent="0.2">
      <c r="A20" s="15" t="s">
        <v>28</v>
      </c>
      <c r="B20" s="19">
        <v>0</v>
      </c>
      <c r="C20" s="19">
        <v>0</v>
      </c>
      <c r="D20" s="19">
        <v>0</v>
      </c>
      <c r="E20" s="19">
        <v>0</v>
      </c>
      <c r="F20" s="19">
        <v>0</v>
      </c>
      <c r="G20" s="19">
        <v>0</v>
      </c>
      <c r="H20" s="19"/>
      <c r="I20" s="19">
        <v>0</v>
      </c>
      <c r="J20" s="19">
        <v>0</v>
      </c>
      <c r="K20" s="19">
        <v>0</v>
      </c>
      <c r="L20" s="19">
        <v>0</v>
      </c>
      <c r="M20" s="19">
        <v>0</v>
      </c>
      <c r="N20" s="19">
        <v>0</v>
      </c>
      <c r="O20" s="19">
        <v>0</v>
      </c>
      <c r="P20" s="19">
        <v>0</v>
      </c>
      <c r="Q20" s="19">
        <v>0</v>
      </c>
      <c r="R20" s="19">
        <v>0</v>
      </c>
      <c r="S20" s="19">
        <v>0</v>
      </c>
    </row>
    <row r="21" spans="1:19" s="23" customFormat="1" x14ac:dyDescent="0.2">
      <c r="A21" s="15" t="s">
        <v>18</v>
      </c>
      <c r="B21" s="19">
        <v>0</v>
      </c>
      <c r="C21" s="19">
        <v>0</v>
      </c>
      <c r="D21" s="19">
        <v>0</v>
      </c>
      <c r="E21" s="19">
        <v>0</v>
      </c>
      <c r="F21" s="19">
        <v>0</v>
      </c>
      <c r="G21" s="19">
        <v>0</v>
      </c>
      <c r="H21" s="19"/>
      <c r="I21" s="19">
        <v>0</v>
      </c>
      <c r="J21" s="19">
        <v>0</v>
      </c>
      <c r="K21" s="19">
        <v>0</v>
      </c>
      <c r="L21" s="19">
        <v>0</v>
      </c>
      <c r="M21" s="19">
        <v>0</v>
      </c>
      <c r="N21" s="19">
        <v>0</v>
      </c>
      <c r="O21" s="19">
        <v>0</v>
      </c>
      <c r="P21" s="19">
        <v>0</v>
      </c>
      <c r="Q21" s="19">
        <v>0</v>
      </c>
      <c r="R21" s="19">
        <v>0</v>
      </c>
      <c r="S21" s="19">
        <v>0</v>
      </c>
    </row>
    <row r="22" spans="1:19" s="22" customFormat="1" x14ac:dyDescent="0.2">
      <c r="A22" s="22" t="s">
        <v>23</v>
      </c>
      <c r="B22" s="20">
        <f t="shared" ref="B22:G22" si="4">SUM(B16,B19:B21)</f>
        <v>80.568000000000012</v>
      </c>
      <c r="C22" s="20">
        <f t="shared" si="4"/>
        <v>43.131999999999998</v>
      </c>
      <c r="D22" s="20">
        <f t="shared" si="4"/>
        <v>76.061000000000135</v>
      </c>
      <c r="E22" s="20">
        <f t="shared" si="4"/>
        <v>44.313000000000059</v>
      </c>
      <c r="F22" s="20">
        <f t="shared" si="4"/>
        <v>49.78700000000002</v>
      </c>
      <c r="G22" s="20">
        <f t="shared" si="4"/>
        <v>40.453999999999965</v>
      </c>
      <c r="H22" s="20"/>
      <c r="I22" s="20">
        <f>SUM(I16,I19:I21)</f>
        <v>40.533999999999985</v>
      </c>
      <c r="J22" s="20">
        <f>SUM(J16,J19:J21)</f>
        <v>48.717000000000013</v>
      </c>
      <c r="K22" s="20">
        <f>SUM(K16,K19:K21)</f>
        <v>50.329000000000022</v>
      </c>
      <c r="L22" s="20">
        <f>SUM(L16,L19:L21)</f>
        <v>60.9</v>
      </c>
      <c r="M22" s="20">
        <f>SUM(M16,M19:M21)</f>
        <v>54.454000000000036</v>
      </c>
      <c r="N22" s="20">
        <f t="shared" ref="N22:S22" si="5">SUM(N16,N19:N21)</f>
        <v>41.144999999999996</v>
      </c>
      <c r="O22" s="20">
        <f t="shared" si="5"/>
        <v>34.190999999999974</v>
      </c>
      <c r="P22" s="20">
        <f t="shared" si="5"/>
        <v>92.099999999999909</v>
      </c>
      <c r="Q22" s="20">
        <f t="shared" si="5"/>
        <v>35.824000000000126</v>
      </c>
      <c r="R22" s="20">
        <f t="shared" si="5"/>
        <v>28.322000000000003</v>
      </c>
      <c r="S22" s="20">
        <f t="shared" si="5"/>
        <v>21.075999999999993</v>
      </c>
    </row>
    <row r="23" spans="1:19" s="22" customFormat="1" x14ac:dyDescent="0.2">
      <c r="B23" s="28"/>
      <c r="C23" s="28"/>
      <c r="D23" s="28"/>
      <c r="E23" s="28"/>
      <c r="F23" s="28"/>
      <c r="G23" s="28"/>
      <c r="H23" s="28"/>
      <c r="I23" s="28"/>
      <c r="J23" s="28"/>
      <c r="K23" s="28"/>
      <c r="L23" s="28"/>
      <c r="M23" s="20"/>
      <c r="N23" s="20"/>
      <c r="O23" s="20"/>
      <c r="P23" s="20"/>
      <c r="Q23" s="20"/>
      <c r="R23" s="20"/>
      <c r="S23" s="20"/>
    </row>
    <row r="24" spans="1:19" s="22" customFormat="1" x14ac:dyDescent="0.2">
      <c r="A24" s="22" t="s">
        <v>27</v>
      </c>
      <c r="B24" s="61">
        <v>252.172</v>
      </c>
      <c r="C24" s="61">
        <v>175.25</v>
      </c>
      <c r="D24" s="61">
        <v>163.559</v>
      </c>
      <c r="E24" s="61">
        <v>137.286</v>
      </c>
      <c r="F24" s="61">
        <v>135.744</v>
      </c>
      <c r="G24" s="61">
        <v>127.37</v>
      </c>
      <c r="H24" s="61">
        <v>131.41900000000001</v>
      </c>
      <c r="I24" s="20">
        <f>SUM(I22:L22)</f>
        <v>200.48000000000005</v>
      </c>
      <c r="J24" s="20">
        <f>SUM(J22:M22)</f>
        <v>214.40000000000006</v>
      </c>
      <c r="K24" s="20">
        <f>SUM(K22:N22)</f>
        <v>206.82800000000003</v>
      </c>
      <c r="L24" s="20">
        <f>SUM(L22:O22)</f>
        <v>190.69</v>
      </c>
      <c r="M24" s="20">
        <f>SUM(M22:P22)</f>
        <v>221.88999999999993</v>
      </c>
      <c r="N24" s="20">
        <f t="shared" ref="N24:P24" si="6">SUM(N22:Q22)</f>
        <v>203.26</v>
      </c>
      <c r="O24" s="20">
        <f t="shared" si="6"/>
        <v>190.43700000000001</v>
      </c>
      <c r="P24" s="20">
        <f t="shared" si="6"/>
        <v>177.32200000000003</v>
      </c>
      <c r="Q24" s="20"/>
      <c r="R24" s="20"/>
      <c r="S24" s="20"/>
    </row>
    <row r="25" spans="1:19" s="23" customFormat="1" x14ac:dyDescent="0.2">
      <c r="A25" s="15" t="s">
        <v>26</v>
      </c>
      <c r="B25" s="27">
        <v>0</v>
      </c>
      <c r="C25" s="27">
        <v>0</v>
      </c>
      <c r="D25" s="27">
        <v>0</v>
      </c>
      <c r="E25" s="27">
        <v>0</v>
      </c>
      <c r="F25" s="27">
        <v>0</v>
      </c>
      <c r="G25" s="27">
        <v>0</v>
      </c>
      <c r="H25" s="27">
        <v>0</v>
      </c>
      <c r="I25" s="27">
        <f>178.1-I24</f>
        <v>-22.380000000000052</v>
      </c>
      <c r="J25" s="27">
        <f>J47-J24</f>
        <v>-52.400000000000063</v>
      </c>
      <c r="K25" s="27">
        <f>K47-K24</f>
        <v>-44.828000000000031</v>
      </c>
      <c r="L25" s="27">
        <f>L47-L24</f>
        <v>-58.289999999999992</v>
      </c>
      <c r="M25" s="27">
        <f>M47-M24</f>
        <v>-89.489999999999924</v>
      </c>
      <c r="N25" s="27">
        <v>0</v>
      </c>
      <c r="O25" s="27">
        <v>0</v>
      </c>
      <c r="P25" s="27">
        <v>0</v>
      </c>
      <c r="Q25" s="27"/>
      <c r="R25" s="27"/>
      <c r="S25" s="27"/>
    </row>
    <row r="26" spans="1:19"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c r="R26" s="26"/>
      <c r="S26" s="26"/>
    </row>
    <row r="27" spans="1:19" s="24" customFormat="1" x14ac:dyDescent="0.2">
      <c r="A27" s="22" t="s">
        <v>24</v>
      </c>
      <c r="B27" s="20">
        <f t="shared" ref="B27:C27" si="7">SUM(B24:B26)</f>
        <v>252.172</v>
      </c>
      <c r="C27" s="20">
        <f t="shared" si="7"/>
        <v>175.25</v>
      </c>
      <c r="D27" s="20">
        <f t="shared" ref="D27" si="8">SUM(D24:D26)</f>
        <v>163.559</v>
      </c>
      <c r="E27" s="20">
        <f t="shared" ref="E27:F27" si="9">SUM(E24:E26)</f>
        <v>137.286</v>
      </c>
      <c r="F27" s="20">
        <f t="shared" si="9"/>
        <v>135.744</v>
      </c>
      <c r="G27" s="20">
        <f t="shared" ref="G27:M27" si="10">SUM(G24:G26)</f>
        <v>127.37</v>
      </c>
      <c r="H27" s="20">
        <f t="shared" si="10"/>
        <v>131.41900000000001</v>
      </c>
      <c r="I27" s="20">
        <f t="shared" si="10"/>
        <v>178.1</v>
      </c>
      <c r="J27" s="20">
        <f t="shared" si="10"/>
        <v>162</v>
      </c>
      <c r="K27" s="20">
        <f t="shared" si="10"/>
        <v>162</v>
      </c>
      <c r="L27" s="20">
        <f t="shared" si="10"/>
        <v>132.4</v>
      </c>
      <c r="M27" s="20">
        <f t="shared" si="10"/>
        <v>132.4</v>
      </c>
      <c r="N27" s="20">
        <f t="shared" ref="N27:P27" si="11">SUM(N24:N26)</f>
        <v>203.26</v>
      </c>
      <c r="O27" s="20">
        <f t="shared" si="11"/>
        <v>190.43700000000001</v>
      </c>
      <c r="P27" s="20">
        <f t="shared" si="11"/>
        <v>177.32200000000003</v>
      </c>
      <c r="Q27" s="20"/>
      <c r="R27" s="25"/>
      <c r="S27" s="25"/>
    </row>
    <row r="28" spans="1:19" s="23" customFormat="1" x14ac:dyDescent="0.2"/>
    <row r="29" spans="1:19" s="22" customFormat="1" x14ac:dyDescent="0.2">
      <c r="A29" s="22" t="s">
        <v>23</v>
      </c>
      <c r="B29" s="20">
        <f t="shared" ref="B29:C29" si="12">B22</f>
        <v>80.568000000000012</v>
      </c>
      <c r="C29" s="20">
        <f t="shared" si="12"/>
        <v>43.131999999999998</v>
      </c>
      <c r="D29" s="20">
        <f t="shared" ref="D29" si="13">D22</f>
        <v>76.061000000000135</v>
      </c>
      <c r="E29" s="20">
        <f t="shared" ref="E29:F29" si="14">E22</f>
        <v>44.313000000000059</v>
      </c>
      <c r="F29" s="20">
        <f t="shared" si="14"/>
        <v>49.78700000000002</v>
      </c>
      <c r="G29" s="20">
        <f t="shared" ref="G29:J29" si="15">G22</f>
        <v>40.453999999999965</v>
      </c>
      <c r="H29" s="20">
        <f t="shared" si="15"/>
        <v>0</v>
      </c>
      <c r="I29" s="20">
        <f t="shared" si="15"/>
        <v>40.533999999999985</v>
      </c>
      <c r="J29" s="20">
        <f t="shared" si="15"/>
        <v>48.717000000000013</v>
      </c>
      <c r="K29" s="20">
        <f t="shared" ref="K29:L29" si="16">K22</f>
        <v>50.329000000000022</v>
      </c>
      <c r="L29" s="20">
        <f t="shared" si="16"/>
        <v>60.9</v>
      </c>
      <c r="M29" s="20">
        <f t="shared" ref="M29:S29" si="17">M22</f>
        <v>54.454000000000036</v>
      </c>
      <c r="N29" s="20">
        <f t="shared" si="17"/>
        <v>41.144999999999996</v>
      </c>
      <c r="O29" s="20">
        <f t="shared" si="17"/>
        <v>34.190999999999974</v>
      </c>
      <c r="P29" s="20">
        <f t="shared" si="17"/>
        <v>92.099999999999909</v>
      </c>
      <c r="Q29" s="20">
        <f t="shared" si="17"/>
        <v>35.824000000000126</v>
      </c>
      <c r="R29" s="20">
        <f t="shared" si="17"/>
        <v>28.322000000000003</v>
      </c>
      <c r="S29" s="20">
        <f t="shared" si="17"/>
        <v>21.075999999999993</v>
      </c>
    </row>
    <row r="30" spans="1:19" s="11" customFormat="1" x14ac:dyDescent="0.2">
      <c r="A30" s="19" t="s">
        <v>22</v>
      </c>
      <c r="B30" s="19">
        <v>-18.282</v>
      </c>
      <c r="C30" s="19">
        <v>-12.34</v>
      </c>
      <c r="D30" s="19">
        <v>-3.232999999999997</v>
      </c>
      <c r="E30" s="19">
        <v>-18.191000000000003</v>
      </c>
      <c r="F30" s="19">
        <v>-14.941999999999997</v>
      </c>
      <c r="G30" s="19">
        <v>-17.809000000000001</v>
      </c>
      <c r="H30" s="19"/>
      <c r="I30" s="19">
        <v>-17.696000000000005</v>
      </c>
      <c r="J30" s="19">
        <v>-23.819999999999997</v>
      </c>
      <c r="K30" s="19">
        <v>-8.9990000000000006</v>
      </c>
      <c r="L30" s="19">
        <v>-6.5249999999999986</v>
      </c>
      <c r="M30" s="19">
        <v>-6.032</v>
      </c>
      <c r="N30" s="19">
        <v>-6.2560000000000002</v>
      </c>
      <c r="O30" s="19">
        <v>-4.3310000000000004</v>
      </c>
      <c r="P30" s="19">
        <v>-5.4350000000000023</v>
      </c>
      <c r="Q30" s="19">
        <v>-5.0129999999999981</v>
      </c>
      <c r="R30" s="19">
        <v>-7.3160000000000007</v>
      </c>
      <c r="S30" s="19">
        <v>-6.49</v>
      </c>
    </row>
    <row r="31" spans="1:19" s="11" customFormat="1" x14ac:dyDescent="0.2">
      <c r="A31" s="19" t="s">
        <v>21</v>
      </c>
      <c r="B31" s="19">
        <v>-11.459</v>
      </c>
      <c r="C31" s="19">
        <v>-5.3730000000000002</v>
      </c>
      <c r="D31" s="19">
        <v>-29.554000000000002</v>
      </c>
      <c r="E31" s="19">
        <v>3.8719999999999999</v>
      </c>
      <c r="F31" s="19">
        <v>1.4059999999999999</v>
      </c>
      <c r="G31" s="19">
        <v>0.17100000000000001</v>
      </c>
      <c r="H31" s="19"/>
      <c r="I31" s="19">
        <v>-1.9949999999999992</v>
      </c>
      <c r="J31" s="19">
        <v>-1.4880000000000013</v>
      </c>
      <c r="K31" s="19">
        <v>-8.7059999999999995</v>
      </c>
      <c r="L31" s="19">
        <v>-12.913</v>
      </c>
      <c r="M31" s="19">
        <v>-8.7999999999999989</v>
      </c>
      <c r="N31" s="19">
        <v>-6.3170000000000002</v>
      </c>
      <c r="O31" s="19">
        <v>-8.452</v>
      </c>
      <c r="P31" s="19">
        <v>-9.4140000000000015</v>
      </c>
      <c r="Q31" s="19">
        <v>-7.1630000000000003</v>
      </c>
      <c r="R31" s="19">
        <v>-5.0090000000000003</v>
      </c>
      <c r="S31" s="19">
        <v>-1.5489999999999999</v>
      </c>
    </row>
    <row r="32" spans="1:19" s="11" customFormat="1" x14ac:dyDescent="0.2">
      <c r="A32" s="19" t="s">
        <v>20</v>
      </c>
      <c r="B32" s="19">
        <v>-20.830000000000005</v>
      </c>
      <c r="C32" s="19">
        <v>-39.061999999999998</v>
      </c>
      <c r="D32" s="19">
        <v>48.62299999999999</v>
      </c>
      <c r="E32" s="19">
        <v>-3.6939999999999955</v>
      </c>
      <c r="F32" s="19">
        <v>67.707999999999998</v>
      </c>
      <c r="G32" s="19">
        <v>-47.734000000000002</v>
      </c>
      <c r="H32" s="19"/>
      <c r="I32" s="19">
        <v>-41.698000000000008</v>
      </c>
      <c r="J32" s="19">
        <v>75.37</v>
      </c>
      <c r="K32" s="19">
        <v>-48.268999999999998</v>
      </c>
      <c r="L32" s="19">
        <v>6.282</v>
      </c>
      <c r="M32" s="19">
        <v>23.058000000000003</v>
      </c>
      <c r="N32" s="19">
        <v>40.647999999999996</v>
      </c>
      <c r="O32" s="19">
        <v>-33.378</v>
      </c>
      <c r="P32" s="19">
        <v>-21.087999999999994</v>
      </c>
      <c r="Q32" s="19">
        <v>-18.299000000000003</v>
      </c>
      <c r="R32" s="19">
        <v>34.495000000000005</v>
      </c>
      <c r="S32" s="19">
        <v>-9.9920000000000009</v>
      </c>
    </row>
    <row r="33" spans="1:19" s="11" customFormat="1" x14ac:dyDescent="0.2">
      <c r="A33" s="19" t="s">
        <v>19</v>
      </c>
      <c r="B33" s="19">
        <v>0</v>
      </c>
      <c r="C33" s="19">
        <v>0</v>
      </c>
      <c r="D33" s="19">
        <f t="shared" ref="D33" si="18">-D19-D20-D21</f>
        <v>0</v>
      </c>
      <c r="E33" s="19">
        <f t="shared" ref="E33:F33" si="19">-E19-E20-E21</f>
        <v>0</v>
      </c>
      <c r="F33" s="19">
        <f t="shared" si="19"/>
        <v>0</v>
      </c>
      <c r="G33" s="19">
        <f t="shared" ref="G33:I33" si="20">-G19-G20-G21</f>
        <v>0</v>
      </c>
      <c r="H33" s="19"/>
      <c r="I33" s="19">
        <f t="shared" si="20"/>
        <v>0</v>
      </c>
      <c r="J33" s="19">
        <f t="shared" ref="J33:L33" si="21">-J19-J20-J21</f>
        <v>0</v>
      </c>
      <c r="K33" s="19">
        <f t="shared" si="21"/>
        <v>0</v>
      </c>
      <c r="L33" s="19">
        <f t="shared" si="21"/>
        <v>0</v>
      </c>
      <c r="M33" s="19">
        <f t="shared" ref="M33:S33" si="22">-M19-M20-M21</f>
        <v>0</v>
      </c>
      <c r="N33" s="19">
        <f t="shared" si="22"/>
        <v>0</v>
      </c>
      <c r="O33" s="19">
        <f t="shared" si="22"/>
        <v>0</v>
      </c>
      <c r="P33" s="19">
        <f t="shared" si="22"/>
        <v>0</v>
      </c>
      <c r="Q33" s="19">
        <f t="shared" si="22"/>
        <v>0</v>
      </c>
      <c r="R33" s="19">
        <f t="shared" si="22"/>
        <v>0</v>
      </c>
      <c r="S33" s="19">
        <f t="shared" si="22"/>
        <v>0</v>
      </c>
    </row>
    <row r="34" spans="1:19" s="11" customFormat="1" x14ac:dyDescent="0.2">
      <c r="A34" s="19" t="s">
        <v>18</v>
      </c>
      <c r="B34" s="21">
        <f t="shared" ref="B34:C34" si="23">B35-B29-B30-B31-B32-B33</f>
        <v>-14.647000000000013</v>
      </c>
      <c r="C34" s="21">
        <f t="shared" si="23"/>
        <v>10.639999999999997</v>
      </c>
      <c r="D34" s="21">
        <f t="shared" ref="D34" si="24">D35-D29-D30-D31-D32-D33</f>
        <v>-4.1130000000001061</v>
      </c>
      <c r="E34" s="21">
        <f t="shared" ref="E34:F34" si="25">E35-E29-E30-E31-E32-E33</f>
        <v>6.0319999999999325</v>
      </c>
      <c r="F34" s="21">
        <f t="shared" si="25"/>
        <v>-5.5280000000000271</v>
      </c>
      <c r="G34" s="21">
        <f t="shared" ref="G34:I34" si="26">G35-G29-G30-G31-G32-G33</f>
        <v>3.3440000000000367</v>
      </c>
      <c r="H34" s="21"/>
      <c r="I34" s="21">
        <f t="shared" si="26"/>
        <v>13.840000000000025</v>
      </c>
      <c r="J34" s="21">
        <f t="shared" ref="J34:L34" si="27">J35-J29-J30-J31-J32-J33</f>
        <v>6.1969999999999743</v>
      </c>
      <c r="K34" s="21">
        <f t="shared" si="27"/>
        <v>0.98499999999997812</v>
      </c>
      <c r="L34" s="21">
        <f t="shared" si="27"/>
        <v>-4.3980000000000103</v>
      </c>
      <c r="M34" s="21">
        <f t="shared" ref="M34:S34" si="28">M35-M29-M30-M31-M32-M33</f>
        <v>-8.7520000000000433</v>
      </c>
      <c r="N34" s="21">
        <f t="shared" si="28"/>
        <v>-4.3749999999999929</v>
      </c>
      <c r="O34" s="21">
        <f t="shared" si="28"/>
        <v>0.88400000000002876</v>
      </c>
      <c r="P34" s="21">
        <f t="shared" si="28"/>
        <v>10.507000000000104</v>
      </c>
      <c r="Q34" s="21">
        <f t="shared" si="28"/>
        <v>-6.0490000000001274</v>
      </c>
      <c r="R34" s="21">
        <f t="shared" si="28"/>
        <v>-0.10200000000000387</v>
      </c>
      <c r="S34" s="21">
        <f t="shared" si="28"/>
        <v>-1.486999999999993</v>
      </c>
    </row>
    <row r="35" spans="1:19" s="20" customFormat="1" x14ac:dyDescent="0.2">
      <c r="A35" s="20" t="s">
        <v>17</v>
      </c>
      <c r="B35" s="20">
        <v>15.35</v>
      </c>
      <c r="C35" s="20">
        <v>-3.0030000000000001</v>
      </c>
      <c r="D35" s="20">
        <v>87.78400000000002</v>
      </c>
      <c r="E35" s="20">
        <v>32.331999999999994</v>
      </c>
      <c r="F35" s="20">
        <v>98.430999999999997</v>
      </c>
      <c r="G35" s="20">
        <v>-21.574000000000002</v>
      </c>
      <c r="H35" s="20">
        <v>1.0040000000000049</v>
      </c>
      <c r="I35" s="20">
        <v>-7.0150000000000006</v>
      </c>
      <c r="J35" s="20">
        <v>104.976</v>
      </c>
      <c r="K35" s="20">
        <v>-14.66</v>
      </c>
      <c r="L35" s="20">
        <v>43.345999999999989</v>
      </c>
      <c r="M35" s="20">
        <v>53.927999999999997</v>
      </c>
      <c r="N35" s="20">
        <v>64.844999999999999</v>
      </c>
      <c r="O35" s="20">
        <v>-11.086</v>
      </c>
      <c r="P35" s="20">
        <v>66.670000000000016</v>
      </c>
      <c r="Q35" s="20">
        <v>-0.70000000000000306</v>
      </c>
      <c r="R35" s="20">
        <v>50.39</v>
      </c>
      <c r="S35" s="20">
        <v>1.5580000000000001</v>
      </c>
    </row>
    <row r="36" spans="1:19" s="11" customFormat="1" x14ac:dyDescent="0.2">
      <c r="A36" s="19" t="s">
        <v>16</v>
      </c>
      <c r="B36" s="21">
        <v>-1.0749999999999993</v>
      </c>
      <c r="C36" s="21">
        <v>-3.7240000000000002</v>
      </c>
      <c r="D36" s="21">
        <v>-2.1339999999999986</v>
      </c>
      <c r="E36" s="21">
        <v>-2.8820000000000014</v>
      </c>
      <c r="F36" s="21">
        <v>-9.5579999999999998</v>
      </c>
      <c r="G36" s="21">
        <v>-3.0709999999999997</v>
      </c>
      <c r="H36" s="21">
        <v>-4.2100000000000009</v>
      </c>
      <c r="I36" s="21">
        <v>-6.3320000000000007</v>
      </c>
      <c r="J36" s="21">
        <v>-6.145999999999999</v>
      </c>
      <c r="K36" s="21">
        <v>-4.7050000000000001</v>
      </c>
      <c r="L36" s="21">
        <v>-10.065999999999995</v>
      </c>
      <c r="M36" s="21">
        <v>-7.6600000000000037</v>
      </c>
      <c r="N36" s="21">
        <v>-5.3620000000000001</v>
      </c>
      <c r="O36" s="21">
        <v>-9.0030000000000001</v>
      </c>
      <c r="P36" s="21">
        <v>-7.5180000000000007</v>
      </c>
      <c r="Q36" s="21">
        <v>-8.8160000000000007</v>
      </c>
      <c r="R36" s="21">
        <v>-4.9130000000000003</v>
      </c>
      <c r="S36" s="21">
        <v>-10.071</v>
      </c>
    </row>
    <row r="37" spans="1:19" s="20" customFormat="1" x14ac:dyDescent="0.2">
      <c r="A37" s="20" t="s">
        <v>15</v>
      </c>
      <c r="B37" s="20">
        <f t="shared" ref="B37:M37" si="29">+B35+B36</f>
        <v>14.275</v>
      </c>
      <c r="C37" s="20">
        <f t="shared" si="29"/>
        <v>-6.7270000000000003</v>
      </c>
      <c r="D37" s="20">
        <f t="shared" si="29"/>
        <v>85.65000000000002</v>
      </c>
      <c r="E37" s="20">
        <f t="shared" si="29"/>
        <v>29.449999999999992</v>
      </c>
      <c r="F37" s="20">
        <f t="shared" si="29"/>
        <v>88.87299999999999</v>
      </c>
      <c r="G37" s="20">
        <f t="shared" si="29"/>
        <v>-24.645000000000003</v>
      </c>
      <c r="H37" s="20">
        <f t="shared" si="29"/>
        <v>-3.205999999999996</v>
      </c>
      <c r="I37" s="20">
        <f t="shared" si="29"/>
        <v>-13.347000000000001</v>
      </c>
      <c r="J37" s="20">
        <f t="shared" si="29"/>
        <v>98.83</v>
      </c>
      <c r="K37" s="20">
        <f t="shared" si="29"/>
        <v>-19.365000000000002</v>
      </c>
      <c r="L37" s="20">
        <f t="shared" si="29"/>
        <v>33.279999999999994</v>
      </c>
      <c r="M37" s="20">
        <f t="shared" si="29"/>
        <v>46.267999999999994</v>
      </c>
      <c r="N37" s="20">
        <f t="shared" ref="N37:S37" si="30">+N35+N36</f>
        <v>59.482999999999997</v>
      </c>
      <c r="O37" s="20">
        <f t="shared" si="30"/>
        <v>-20.088999999999999</v>
      </c>
      <c r="P37" s="20">
        <f t="shared" si="30"/>
        <v>59.152000000000015</v>
      </c>
      <c r="Q37" s="20">
        <f t="shared" si="30"/>
        <v>-9.5160000000000036</v>
      </c>
      <c r="R37" s="20">
        <f t="shared" si="30"/>
        <v>45.477000000000004</v>
      </c>
      <c r="S37" s="20">
        <f t="shared" si="30"/>
        <v>-8.5129999999999999</v>
      </c>
    </row>
    <row r="39" spans="1:19" s="16" customFormat="1" x14ac:dyDescent="0.2">
      <c r="A39" s="18" t="s">
        <v>14</v>
      </c>
      <c r="B39" s="19">
        <v>39.6</v>
      </c>
      <c r="C39" s="19">
        <v>0</v>
      </c>
      <c r="D39" s="19">
        <v>0</v>
      </c>
      <c r="E39" s="19">
        <v>0</v>
      </c>
      <c r="F39" s="19">
        <v>0</v>
      </c>
      <c r="G39" s="19">
        <v>0</v>
      </c>
      <c r="H39" s="19">
        <v>0</v>
      </c>
      <c r="I39" s="19">
        <f>37.698+14.469</f>
        <v>52.167000000000002</v>
      </c>
      <c r="J39" s="19">
        <v>63</v>
      </c>
      <c r="K39" s="19">
        <v>63</v>
      </c>
      <c r="L39" s="19">
        <f t="shared" ref="B39:L42" si="31">M39</f>
        <v>30</v>
      </c>
      <c r="M39" s="19">
        <v>30</v>
      </c>
      <c r="N39" s="19"/>
      <c r="O39" s="19"/>
      <c r="P39" s="19"/>
      <c r="Q39" s="19"/>
      <c r="R39" s="19"/>
      <c r="S39" s="19"/>
    </row>
    <row r="40" spans="1:19" s="16" customFormat="1" x14ac:dyDescent="0.2">
      <c r="A40" s="18" t="s">
        <v>13</v>
      </c>
      <c r="B40" s="19">
        <f>959.9-B39</f>
        <v>920.3</v>
      </c>
      <c r="C40" s="19">
        <v>807.69799999999998</v>
      </c>
      <c r="D40" s="19">
        <v>673.4</v>
      </c>
      <c r="E40" s="19">
        <f>651.8+23.457</f>
        <v>675.25699999999995</v>
      </c>
      <c r="F40" s="19">
        <v>677.58699999999999</v>
      </c>
      <c r="G40" s="19">
        <v>773.846</v>
      </c>
      <c r="H40" s="19">
        <v>680.44400000000007</v>
      </c>
      <c r="I40" s="19">
        <f>750.645+24</f>
        <v>774.64499999999998</v>
      </c>
      <c r="J40" s="19">
        <f>660+24</f>
        <v>684</v>
      </c>
      <c r="K40" s="19">
        <f>660+24</f>
        <v>684</v>
      </c>
      <c r="L40" s="19">
        <f t="shared" si="31"/>
        <v>585</v>
      </c>
      <c r="M40" s="19">
        <v>585</v>
      </c>
      <c r="N40" s="19"/>
      <c r="O40" s="19"/>
      <c r="P40" s="19"/>
      <c r="Q40" s="19"/>
      <c r="R40" s="19"/>
      <c r="S40" s="19"/>
    </row>
    <row r="41" spans="1:19" s="16" customFormat="1" x14ac:dyDescent="0.2">
      <c r="A41" s="18" t="s">
        <v>12</v>
      </c>
      <c r="B41" s="19">
        <f>B39+B40</f>
        <v>959.9</v>
      </c>
      <c r="C41" s="19">
        <f>C39+C40</f>
        <v>807.69799999999998</v>
      </c>
      <c r="D41" s="19">
        <f t="shared" ref="D41:K41" si="32">D39+D40+150</f>
        <v>823.4</v>
      </c>
      <c r="E41" s="19">
        <f t="shared" si="32"/>
        <v>825.25699999999995</v>
      </c>
      <c r="F41" s="19">
        <f t="shared" si="32"/>
        <v>827.58699999999999</v>
      </c>
      <c r="G41" s="19">
        <f t="shared" si="32"/>
        <v>923.846</v>
      </c>
      <c r="H41" s="19">
        <f t="shared" si="32"/>
        <v>830.44400000000007</v>
      </c>
      <c r="I41" s="19">
        <f t="shared" si="32"/>
        <v>976.81200000000001</v>
      </c>
      <c r="J41" s="19">
        <f t="shared" si="32"/>
        <v>897</v>
      </c>
      <c r="K41" s="19">
        <f t="shared" si="32"/>
        <v>897</v>
      </c>
      <c r="L41" s="19">
        <f t="shared" si="31"/>
        <v>765</v>
      </c>
      <c r="M41" s="19">
        <f>M39+M40+150</f>
        <v>765</v>
      </c>
      <c r="N41" s="19"/>
      <c r="O41" s="19"/>
      <c r="P41" s="19"/>
      <c r="Q41" s="19"/>
      <c r="R41" s="19"/>
      <c r="S41" s="19"/>
    </row>
    <row r="42" spans="1:19" s="16" customFormat="1" x14ac:dyDescent="0.2">
      <c r="A42" s="18" t="s">
        <v>11</v>
      </c>
      <c r="B42" s="17">
        <f t="shared" si="31"/>
        <v>886</v>
      </c>
      <c r="C42" s="17">
        <f t="shared" si="31"/>
        <v>886</v>
      </c>
      <c r="D42" s="17">
        <f t="shared" si="31"/>
        <v>886</v>
      </c>
      <c r="E42" s="17">
        <f t="shared" si="31"/>
        <v>886</v>
      </c>
      <c r="F42" s="17">
        <f t="shared" si="31"/>
        <v>886</v>
      </c>
      <c r="G42" s="17">
        <f t="shared" si="31"/>
        <v>886</v>
      </c>
      <c r="H42" s="17">
        <f t="shared" si="31"/>
        <v>886</v>
      </c>
      <c r="I42" s="17">
        <f t="shared" si="31"/>
        <v>886</v>
      </c>
      <c r="J42" s="17">
        <f t="shared" si="31"/>
        <v>886</v>
      </c>
      <c r="K42" s="17">
        <f t="shared" si="31"/>
        <v>886</v>
      </c>
      <c r="L42" s="17">
        <f t="shared" si="31"/>
        <v>886</v>
      </c>
      <c r="M42" s="17">
        <v>886</v>
      </c>
      <c r="N42" s="17"/>
      <c r="O42" s="17"/>
      <c r="P42" s="17"/>
      <c r="Q42" s="17"/>
      <c r="R42" s="17"/>
      <c r="S42" s="17"/>
    </row>
    <row r="43" spans="1:19" x14ac:dyDescent="0.2">
      <c r="B43" s="16"/>
      <c r="C43" s="16"/>
      <c r="D43" s="16"/>
      <c r="E43" s="16"/>
      <c r="F43" s="16"/>
      <c r="G43" s="16"/>
      <c r="H43" s="16"/>
      <c r="I43" s="16"/>
      <c r="J43" s="16"/>
      <c r="K43" s="16"/>
      <c r="L43" s="16"/>
      <c r="M43" s="16"/>
      <c r="N43" s="16"/>
      <c r="O43" s="16"/>
    </row>
    <row r="44" spans="1:19" x14ac:dyDescent="0.2">
      <c r="A44" s="15" t="s">
        <v>10</v>
      </c>
      <c r="B44" s="27">
        <v>52.098999999999997</v>
      </c>
      <c r="C44" s="27">
        <v>85.4</v>
      </c>
      <c r="D44" s="27">
        <v>84.093000000000004</v>
      </c>
      <c r="E44" s="27">
        <v>173.697</v>
      </c>
      <c r="F44" s="27">
        <v>168.816</v>
      </c>
      <c r="G44" s="27">
        <v>261.06200000000001</v>
      </c>
      <c r="H44" s="27">
        <v>130.33799999999999</v>
      </c>
      <c r="I44" s="27">
        <v>71.007000000000005</v>
      </c>
      <c r="J44" s="27">
        <v>73</v>
      </c>
      <c r="K44" s="27">
        <v>73</v>
      </c>
      <c r="L44" s="27">
        <f>M44</f>
        <v>48</v>
      </c>
      <c r="M44" s="27">
        <v>48</v>
      </c>
      <c r="N44" s="27"/>
      <c r="O44" s="27"/>
      <c r="P44" s="27"/>
      <c r="Q44" s="27"/>
      <c r="R44" s="27"/>
      <c r="S44" s="14"/>
    </row>
    <row r="46" spans="1:19" x14ac:dyDescent="0.2">
      <c r="A46" s="1" t="s">
        <v>9</v>
      </c>
      <c r="B46" s="13">
        <f t="shared" ref="B46:G46" si="33">C46+B12-F12</f>
        <v>2329.058</v>
      </c>
      <c r="C46" s="13">
        <f t="shared" si="33"/>
        <v>2247.6309999999999</v>
      </c>
      <c r="D46" s="13">
        <f t="shared" si="33"/>
        <v>2251.67</v>
      </c>
      <c r="E46" s="13">
        <f t="shared" si="33"/>
        <v>1750.5949999999998</v>
      </c>
      <c r="F46" s="13">
        <f t="shared" si="33"/>
        <v>1758.8419999999999</v>
      </c>
      <c r="G46" s="13">
        <f t="shared" si="33"/>
        <v>1799.153</v>
      </c>
      <c r="H46" s="12">
        <v>1817.2</v>
      </c>
      <c r="I46" s="11">
        <f>SUM(I12:L12)</f>
        <v>1978.076</v>
      </c>
      <c r="J46" s="11">
        <f>SUM(J12:M12)</f>
        <v>2002.1330000000003</v>
      </c>
      <c r="K46" s="11">
        <f>SUM(K12:N12)</f>
        <v>1995.9050000000002</v>
      </c>
      <c r="L46" s="11">
        <f>SUM(L12:O12)</f>
        <v>1974.518</v>
      </c>
      <c r="M46" s="11">
        <f>SUM(M12:P12)</f>
        <v>1884.9259999999999</v>
      </c>
      <c r="N46" s="11"/>
      <c r="O46" s="11"/>
      <c r="P46" s="11"/>
      <c r="Q46" s="11"/>
    </row>
    <row r="47" spans="1:19" x14ac:dyDescent="0.2">
      <c r="A47" s="1" t="s">
        <v>8</v>
      </c>
      <c r="B47" s="13">
        <f t="shared" ref="B47" si="34">B27</f>
        <v>252.172</v>
      </c>
      <c r="C47" s="13">
        <f t="shared" ref="C47:I47" si="35">C27</f>
        <v>175.25</v>
      </c>
      <c r="D47" s="13">
        <f t="shared" si="35"/>
        <v>163.559</v>
      </c>
      <c r="E47" s="13">
        <f t="shared" si="35"/>
        <v>137.286</v>
      </c>
      <c r="F47" s="13">
        <f t="shared" si="35"/>
        <v>135.744</v>
      </c>
      <c r="G47" s="13">
        <f t="shared" si="35"/>
        <v>127.37</v>
      </c>
      <c r="H47" s="13">
        <f t="shared" si="35"/>
        <v>131.41900000000001</v>
      </c>
      <c r="I47" s="13">
        <f t="shared" si="35"/>
        <v>178.1</v>
      </c>
      <c r="J47" s="12">
        <f>K47</f>
        <v>162</v>
      </c>
      <c r="K47" s="12">
        <v>162</v>
      </c>
      <c r="L47" s="12">
        <f>M47</f>
        <v>132.4</v>
      </c>
      <c r="M47" s="12">
        <f>145.6-10-3.2</f>
        <v>132.4</v>
      </c>
      <c r="N47" s="11"/>
      <c r="O47" s="11"/>
      <c r="P47" s="11"/>
      <c r="Q47" s="11"/>
    </row>
    <row r="48" spans="1:19" x14ac:dyDescent="0.2">
      <c r="A48" s="1" t="s">
        <v>7</v>
      </c>
      <c r="B48" s="13">
        <f t="shared" ref="B48:M48" si="36">SUM(B37:E37)</f>
        <v>122.64800000000001</v>
      </c>
      <c r="C48" s="13">
        <f t="shared" si="36"/>
        <v>197.24599999999998</v>
      </c>
      <c r="D48" s="13">
        <f t="shared" si="36"/>
        <v>179.328</v>
      </c>
      <c r="E48" s="13">
        <f t="shared" si="36"/>
        <v>90.47199999999998</v>
      </c>
      <c r="F48" s="13">
        <f t="shared" si="36"/>
        <v>47.674999999999983</v>
      </c>
      <c r="G48" s="13">
        <f t="shared" si="36"/>
        <v>57.631999999999998</v>
      </c>
      <c r="H48" s="13">
        <f t="shared" si="36"/>
        <v>62.911999999999999</v>
      </c>
      <c r="I48" s="13">
        <f t="shared" si="36"/>
        <v>99.397999999999996</v>
      </c>
      <c r="J48" s="13">
        <f t="shared" si="36"/>
        <v>159.01300000000001</v>
      </c>
      <c r="K48" s="13">
        <f t="shared" si="36"/>
        <v>119.66599999999998</v>
      </c>
      <c r="L48" s="13">
        <f t="shared" si="36"/>
        <v>118.94199999999998</v>
      </c>
      <c r="M48" s="13">
        <f t="shared" si="36"/>
        <v>144.81400000000002</v>
      </c>
      <c r="N48" s="11"/>
      <c r="O48" s="11"/>
      <c r="P48" s="11"/>
      <c r="Q48" s="11"/>
    </row>
    <row r="50" spans="1:19" s="10" customFormat="1" x14ac:dyDescent="0.2">
      <c r="A50" s="10" t="s">
        <v>6</v>
      </c>
      <c r="B50" s="10">
        <f t="shared" ref="B50:C50" si="37">+SUM(B39:B40)/B47</f>
        <v>3.8065288771156194</v>
      </c>
      <c r="C50" s="10">
        <f t="shared" si="37"/>
        <v>4.6088330955777463</v>
      </c>
      <c r="D50" s="10">
        <f t="shared" ref="D50:E50" si="38">+SUM(D39:D40)/D47</f>
        <v>4.1171687281042315</v>
      </c>
      <c r="E50" s="10">
        <f t="shared" si="38"/>
        <v>4.9186151537665888</v>
      </c>
      <c r="F50" s="10">
        <f t="shared" ref="F50:G50" si="39">+SUM(F39:F40)/F47</f>
        <v>4.9916534064120697</v>
      </c>
      <c r="G50" s="10">
        <f t="shared" si="39"/>
        <v>6.0755750961764932</v>
      </c>
      <c r="H50" s="10">
        <f t="shared" ref="H50:M50" si="40">+SUM(H39:H40)/H47</f>
        <v>5.1776683736750391</v>
      </c>
      <c r="I50" s="10">
        <f t="shared" si="40"/>
        <v>4.642403144300955</v>
      </c>
      <c r="J50" s="10">
        <f t="shared" si="40"/>
        <v>4.6111111111111107</v>
      </c>
      <c r="K50" s="10">
        <f t="shared" si="40"/>
        <v>4.6111111111111107</v>
      </c>
      <c r="L50" s="10">
        <f t="shared" si="40"/>
        <v>4.6450151057401809</v>
      </c>
      <c r="M50" s="10">
        <f t="shared" si="40"/>
        <v>4.6450151057401809</v>
      </c>
    </row>
    <row r="51" spans="1:19" s="10" customFormat="1" x14ac:dyDescent="0.2">
      <c r="A51" s="10" t="s">
        <v>5</v>
      </c>
      <c r="B51" s="10">
        <f t="shared" ref="B51:C51" si="41">+B41/B47</f>
        <v>3.8065288771156194</v>
      </c>
      <c r="C51" s="10">
        <f t="shared" si="41"/>
        <v>4.6088330955777463</v>
      </c>
      <c r="D51" s="10">
        <f t="shared" ref="D51:E51" si="42">+D41/D47</f>
        <v>5.0342689793897</v>
      </c>
      <c r="E51" s="10">
        <f t="shared" si="42"/>
        <v>6.0112247425083396</v>
      </c>
      <c r="F51" s="10">
        <f t="shared" ref="F51:G51" si="43">+F41/F47</f>
        <v>6.0966746228194246</v>
      </c>
      <c r="G51" s="10">
        <f t="shared" si="43"/>
        <v>7.25324644735809</v>
      </c>
      <c r="H51" s="10">
        <f t="shared" ref="H51:M51" si="44">+H41/H47</f>
        <v>6.3190558442843123</v>
      </c>
      <c r="I51" s="10">
        <f t="shared" si="44"/>
        <v>5.4846266142616509</v>
      </c>
      <c r="J51" s="10">
        <f t="shared" si="44"/>
        <v>5.5370370370370372</v>
      </c>
      <c r="K51" s="10">
        <f t="shared" si="44"/>
        <v>5.5370370370370372</v>
      </c>
      <c r="L51" s="10">
        <f t="shared" si="44"/>
        <v>5.7779456193353473</v>
      </c>
      <c r="M51" s="10">
        <f t="shared" si="44"/>
        <v>5.7779456193353473</v>
      </c>
    </row>
    <row r="52" spans="1:19" s="10" customFormat="1" x14ac:dyDescent="0.2">
      <c r="A52" s="10" t="s">
        <v>4</v>
      </c>
      <c r="B52" s="10">
        <f t="shared" ref="B52:C52" si="45">+(B41-B44)/B47</f>
        <v>3.5999278270386879</v>
      </c>
      <c r="C52" s="10">
        <f t="shared" si="45"/>
        <v>4.1215292439372329</v>
      </c>
      <c r="D52" s="10">
        <f t="shared" ref="D52:E52" si="46">+(D41-D44)/D47</f>
        <v>4.5201242365140413</v>
      </c>
      <c r="E52" s="10">
        <f t="shared" si="46"/>
        <v>4.7460046909371671</v>
      </c>
      <c r="F52" s="10">
        <f t="shared" ref="F52:G52" si="47">+(F41-F44)/F47</f>
        <v>4.8530395450259309</v>
      </c>
      <c r="G52" s="10">
        <f t="shared" si="47"/>
        <v>5.2036115254769566</v>
      </c>
      <c r="H52" s="10">
        <f t="shared" ref="H52:M52" si="48">+(H41-H44)/H47</f>
        <v>5.3272814433225033</v>
      </c>
      <c r="I52" s="10">
        <f t="shared" si="48"/>
        <v>5.0859348680516572</v>
      </c>
      <c r="J52" s="10">
        <f t="shared" si="48"/>
        <v>5.0864197530864201</v>
      </c>
      <c r="K52" s="10">
        <f t="shared" si="48"/>
        <v>5.0864197530864201</v>
      </c>
      <c r="L52" s="10">
        <f t="shared" si="48"/>
        <v>5.4154078549848936</v>
      </c>
      <c r="M52" s="10">
        <f t="shared" si="48"/>
        <v>5.4154078549848936</v>
      </c>
    </row>
    <row r="53" spans="1:19" s="6" customFormat="1" x14ac:dyDescent="0.2">
      <c r="A53" s="6" t="s">
        <v>3</v>
      </c>
      <c r="B53" s="6">
        <f t="shared" ref="B53:C53" si="49">+B48/B41</f>
        <v>0.12777164287946663</v>
      </c>
      <c r="C53" s="6">
        <f t="shared" si="49"/>
        <v>0.24420761225111365</v>
      </c>
      <c r="D53" s="6">
        <f t="shared" ref="D53:E53" si="50">+D48/D41</f>
        <v>0.21778965265970368</v>
      </c>
      <c r="E53" s="6">
        <f t="shared" si="50"/>
        <v>0.1096288792461015</v>
      </c>
      <c r="F53" s="6">
        <f t="shared" ref="F53:G53" si="51">+F48/F41</f>
        <v>5.7607236459731703E-2</v>
      </c>
      <c r="G53" s="6">
        <f t="shared" si="51"/>
        <v>6.2382691487542295E-2</v>
      </c>
      <c r="H53" s="6">
        <f t="shared" ref="H53:M53" si="52">+H48/H41</f>
        <v>7.5757064895405346E-2</v>
      </c>
      <c r="I53" s="6">
        <f t="shared" si="52"/>
        <v>0.10175755416600123</v>
      </c>
      <c r="J53" s="6">
        <f t="shared" si="52"/>
        <v>0.17727201783723523</v>
      </c>
      <c r="K53" s="6">
        <f t="shared" si="52"/>
        <v>0.13340691192865103</v>
      </c>
      <c r="L53" s="6">
        <f t="shared" si="52"/>
        <v>0.15547973856209146</v>
      </c>
      <c r="M53" s="6">
        <f t="shared" si="52"/>
        <v>0.18929934640522877</v>
      </c>
    </row>
    <row r="54" spans="1:19" s="6" customFormat="1" x14ac:dyDescent="0.2">
      <c r="A54" s="8" t="s">
        <v>2</v>
      </c>
      <c r="B54" s="9"/>
      <c r="C54" s="9"/>
      <c r="D54" s="9"/>
      <c r="E54" s="9"/>
      <c r="F54" s="9"/>
      <c r="G54" s="9"/>
      <c r="H54" s="9"/>
      <c r="I54" s="9"/>
      <c r="J54" s="9"/>
      <c r="K54" s="9"/>
      <c r="L54" s="9"/>
      <c r="M54" s="9"/>
      <c r="N54" s="9"/>
      <c r="O54" s="9"/>
      <c r="P54" s="9"/>
      <c r="Q54" s="9"/>
      <c r="R54" s="8"/>
      <c r="S54" s="8"/>
    </row>
    <row r="55" spans="1:19" s="6" customFormat="1" x14ac:dyDescent="0.2">
      <c r="A55" s="6" t="s">
        <v>1</v>
      </c>
      <c r="B55" s="7">
        <f t="shared" ref="B55:C55" si="53">IF(B42=0,IF(B54="","","*"&amp;TEXT(B54,"0.0x")),(B41+B42-B44)/B47)</f>
        <v>7.113402756848501</v>
      </c>
      <c r="C55" s="7">
        <f t="shared" si="53"/>
        <v>9.1771640513552057</v>
      </c>
      <c r="D55" s="7">
        <f t="shared" ref="D55:E55" si="54">IF(D42=0,IF(D54="","","*"&amp;TEXT(D54,"0.0x")),(D41+D42-D44)/D47)</f>
        <v>9.9371297207735445</v>
      </c>
      <c r="E55" s="7">
        <f t="shared" si="54"/>
        <v>11.199685328438441</v>
      </c>
      <c r="F55" s="7">
        <f t="shared" ref="F55:G55" si="55">IF(F42=0,IF(F54="","","*"&amp;TEXT(F54,"0.0x")),(F41+F42-F44)/F47)</f>
        <v>11.380031529938709</v>
      </c>
      <c r="G55" s="7">
        <f t="shared" si="55"/>
        <v>12.15972363978959</v>
      </c>
      <c r="H55" s="7">
        <f t="shared" ref="H55:M55" si="56">IF(H42=0,IF(H54="","","*"&amp;TEXT(H54,"0.0x")),(H41+H42-H44)/H47)</f>
        <v>12.069076769721272</v>
      </c>
      <c r="I55" s="7">
        <f t="shared" si="56"/>
        <v>10.060668163952835</v>
      </c>
      <c r="J55" s="7">
        <f t="shared" si="56"/>
        <v>10.555555555555555</v>
      </c>
      <c r="K55" s="7">
        <f t="shared" si="56"/>
        <v>10.555555555555555</v>
      </c>
      <c r="L55" s="7">
        <f t="shared" si="56"/>
        <v>12.107250755287009</v>
      </c>
      <c r="M55" s="7">
        <f t="shared" si="56"/>
        <v>12.107250755287009</v>
      </c>
      <c r="N55" s="7"/>
      <c r="O55" s="7"/>
      <c r="P55" s="7"/>
      <c r="Q55" s="7"/>
      <c r="R55" s="7" t="str">
        <f t="shared" ref="R55:S55" si="57">IF(R42=0,IF(R54="","",CONCATENATE("* ",R54,"x")),(R41+R42-R44)/R47)</f>
        <v/>
      </c>
      <c r="S55" s="7" t="str">
        <f t="shared" si="57"/>
        <v/>
      </c>
    </row>
    <row r="56" spans="1:19" x14ac:dyDescent="0.2">
      <c r="Q56" s="3"/>
    </row>
    <row r="57" spans="1:19" ht="80.25" customHeight="1" x14ac:dyDescent="0.2">
      <c r="A57" s="5" t="s">
        <v>0</v>
      </c>
      <c r="B57" s="4" t="s">
        <v>104</v>
      </c>
      <c r="C57" s="4" t="s">
        <v>104</v>
      </c>
      <c r="D57" s="4" t="s">
        <v>104</v>
      </c>
      <c r="E57" s="4" t="s">
        <v>104</v>
      </c>
      <c r="F57" s="4" t="s">
        <v>104</v>
      </c>
      <c r="G57" s="4" t="s">
        <v>104</v>
      </c>
      <c r="H57" s="4" t="s">
        <v>501</v>
      </c>
      <c r="I57" s="4" t="s">
        <v>461</v>
      </c>
      <c r="J57" s="4" t="s">
        <v>426</v>
      </c>
      <c r="K57" s="4" t="s">
        <v>426</v>
      </c>
      <c r="L57" s="4" t="s">
        <v>343</v>
      </c>
      <c r="M57" s="4" t="s">
        <v>104</v>
      </c>
      <c r="N57" s="4"/>
      <c r="O57" s="4"/>
      <c r="P57" s="4"/>
      <c r="Q57" s="4"/>
      <c r="R57" s="4"/>
      <c r="S57" s="4"/>
    </row>
    <row r="58" spans="1:19" x14ac:dyDescent="0.2">
      <c r="A58" s="2"/>
      <c r="B58" s="3"/>
      <c r="C58" s="3"/>
      <c r="D58" s="3"/>
      <c r="E58" s="3"/>
      <c r="F58" s="3"/>
      <c r="G58" s="3"/>
      <c r="H58" s="3"/>
      <c r="I58" s="3"/>
      <c r="J58" s="3"/>
      <c r="K58" s="3"/>
      <c r="L58" s="3"/>
      <c r="M58" s="3"/>
    </row>
    <row r="59" spans="1:19" x14ac:dyDescent="0.2">
      <c r="A59" s="2"/>
    </row>
  </sheetData>
  <pageMargins left="0.7" right="0.7" top="0.75" bottom="0.75" header="0.3" footer="0.3"/>
  <pageSetup orientation="portrait" r:id="rId1"/>
  <ignoredErrors>
    <ignoredError sqref="N46 J49:J50 J48 J46:L46 J47 M46 I48 I46 I47 M47 M48" formulaRange="1"/>
    <ignoredError sqref="K48:L48 L47" formula="1" formulaRange="1"/>
    <ignoredError sqref="K49:L50" formula="1"/>
  </ignoredErrors>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2:L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325</v>
      </c>
    </row>
    <row r="3" spans="1:11" s="35" customFormat="1" x14ac:dyDescent="0.2">
      <c r="A3" s="36" t="s">
        <v>43</v>
      </c>
      <c r="B3" s="35" t="s">
        <v>326</v>
      </c>
    </row>
    <row r="4" spans="1:11" x14ac:dyDescent="0.2">
      <c r="A4" s="34" t="s">
        <v>41</v>
      </c>
      <c r="B4" s="1" t="s">
        <v>40</v>
      </c>
    </row>
    <row r="5" spans="1:11" x14ac:dyDescent="0.2">
      <c r="A5" s="34" t="s">
        <v>39</v>
      </c>
    </row>
    <row r="6" spans="1:11" x14ac:dyDescent="0.2">
      <c r="A6" s="34" t="s">
        <v>38</v>
      </c>
      <c r="B6" s="1">
        <v>3</v>
      </c>
    </row>
    <row r="7" spans="1:11" x14ac:dyDescent="0.2">
      <c r="A7" s="34" t="s">
        <v>37</v>
      </c>
      <c r="B7" s="1" t="s">
        <v>376</v>
      </c>
    </row>
    <row r="8" spans="1:11" x14ac:dyDescent="0.2">
      <c r="A8" s="34" t="s">
        <v>281</v>
      </c>
      <c r="B8" s="1" t="s">
        <v>338</v>
      </c>
    </row>
    <row r="9" spans="1:11" x14ac:dyDescent="0.2">
      <c r="A9" s="22"/>
    </row>
    <row r="10" spans="1:11" x14ac:dyDescent="0.2">
      <c r="A10" s="22" t="s">
        <v>36</v>
      </c>
      <c r="B10" s="33">
        <v>43646</v>
      </c>
      <c r="C10" s="33">
        <v>43555</v>
      </c>
      <c r="D10" s="33">
        <v>43465</v>
      </c>
      <c r="E10" s="33">
        <v>43373</v>
      </c>
      <c r="F10" s="33">
        <f>EOMONTH(E10,-3)</f>
        <v>43281</v>
      </c>
      <c r="G10" s="33">
        <f t="shared" ref="G10:K10" si="0">EOMONTH(F10,-3)</f>
        <v>43190</v>
      </c>
      <c r="H10" s="33">
        <f t="shared" si="0"/>
        <v>43100</v>
      </c>
      <c r="I10" s="33">
        <f t="shared" si="0"/>
        <v>43008</v>
      </c>
      <c r="J10" s="33">
        <f t="shared" si="0"/>
        <v>42916</v>
      </c>
      <c r="K10" s="33">
        <f t="shared" si="0"/>
        <v>42825</v>
      </c>
    </row>
    <row r="12" spans="1:11" x14ac:dyDescent="0.2">
      <c r="A12" s="15" t="s">
        <v>35</v>
      </c>
      <c r="B12" s="29">
        <v>299.39299999999997</v>
      </c>
      <c r="C12" s="29">
        <v>291.92500000000001</v>
      </c>
      <c r="D12" s="29">
        <f>1101.781-E12-F12-G12</f>
        <v>247.72499999999991</v>
      </c>
      <c r="E12" s="29">
        <f>307.376</f>
        <v>307.37599999999998</v>
      </c>
      <c r="F12" s="29">
        <v>278.41000000000003</v>
      </c>
      <c r="G12" s="29">
        <v>268.27</v>
      </c>
      <c r="H12" s="29">
        <f>1014.372-I12-J12-K12</f>
        <v>183.66399999999993</v>
      </c>
      <c r="I12" s="29">
        <v>276.553</v>
      </c>
      <c r="J12" s="29">
        <v>282.22800000000001</v>
      </c>
      <c r="K12" s="29">
        <v>271.92700000000002</v>
      </c>
    </row>
    <row r="13" spans="1:11" s="28" customFormat="1" x14ac:dyDescent="0.2">
      <c r="A13" s="28" t="s">
        <v>34</v>
      </c>
      <c r="B13" s="28">
        <f t="shared" ref="B13:G13" si="1">B12/F12-1</f>
        <v>7.536726410689254E-2</v>
      </c>
      <c r="C13" s="28">
        <f t="shared" si="1"/>
        <v>8.8176091251351396E-2</v>
      </c>
      <c r="D13" s="28">
        <f t="shared" si="1"/>
        <v>0.3487945378517292</v>
      </c>
      <c r="E13" s="28">
        <f t="shared" si="1"/>
        <v>0.11145422396430327</v>
      </c>
      <c r="F13" s="28">
        <f t="shared" si="1"/>
        <v>-1.3528069504088802E-2</v>
      </c>
      <c r="G13" s="28">
        <f t="shared" si="1"/>
        <v>-1.3448462271124395E-2</v>
      </c>
    </row>
    <row r="14" spans="1:11" s="23" customFormat="1" x14ac:dyDescent="0.2">
      <c r="A14" s="31" t="s">
        <v>33</v>
      </c>
      <c r="B14" s="32" t="s">
        <v>32</v>
      </c>
      <c r="C14" s="32" t="s">
        <v>32</v>
      </c>
      <c r="D14" s="32" t="s">
        <v>32</v>
      </c>
      <c r="E14" s="32" t="s">
        <v>32</v>
      </c>
      <c r="F14" s="32" t="s">
        <v>32</v>
      </c>
      <c r="G14" s="32" t="s">
        <v>32</v>
      </c>
      <c r="H14" s="32"/>
      <c r="I14" s="31"/>
      <c r="J14" s="31"/>
      <c r="K14" s="31"/>
    </row>
    <row r="16" spans="1:11" s="22" customFormat="1" x14ac:dyDescent="0.2">
      <c r="A16" s="30" t="s">
        <v>31</v>
      </c>
      <c r="B16" s="29">
        <v>59.965000000000003</v>
      </c>
      <c r="C16" s="29">
        <v>58.573</v>
      </c>
      <c r="D16" s="29">
        <f>238.986-E16-F16-G16</f>
        <v>64.760999999999996</v>
      </c>
      <c r="E16" s="29">
        <v>59.805999999999997</v>
      </c>
      <c r="F16" s="29">
        <v>61.578000000000003</v>
      </c>
      <c r="G16" s="29">
        <v>52.841000000000001</v>
      </c>
      <c r="H16" s="29">
        <f>217.882-I16-J16-K16</f>
        <v>56.074000000000012</v>
      </c>
      <c r="I16" s="29">
        <v>54.500999999999998</v>
      </c>
      <c r="J16" s="29">
        <v>57.973999999999997</v>
      </c>
      <c r="K16" s="29">
        <v>49.332999999999998</v>
      </c>
    </row>
    <row r="17" spans="1:11" s="28" customFormat="1" x14ac:dyDescent="0.2">
      <c r="A17" s="28" t="s">
        <v>30</v>
      </c>
      <c r="B17" s="28">
        <f t="shared" ref="B17:C17" si="2">B16/B12</f>
        <v>0.20028858390142726</v>
      </c>
      <c r="C17" s="28">
        <f t="shared" si="2"/>
        <v>0.2006440010276612</v>
      </c>
      <c r="D17" s="28">
        <f t="shared" ref="D17:K17" si="3">D16/D12</f>
        <v>0.26142294883439304</v>
      </c>
      <c r="E17" s="28">
        <f t="shared" si="3"/>
        <v>0.19456951746395296</v>
      </c>
      <c r="F17" s="28">
        <f t="shared" si="3"/>
        <v>0.22117740023706045</v>
      </c>
      <c r="G17" s="28">
        <f t="shared" si="3"/>
        <v>0.19696947105528015</v>
      </c>
      <c r="H17" s="28">
        <f t="shared" si="3"/>
        <v>0.30530751807648771</v>
      </c>
      <c r="I17" s="28">
        <f t="shared" si="3"/>
        <v>0.19707253220901599</v>
      </c>
      <c r="J17" s="28">
        <f t="shared" si="3"/>
        <v>0.20541547968309309</v>
      </c>
      <c r="K17" s="28">
        <f t="shared" si="3"/>
        <v>0.18142001345949463</v>
      </c>
    </row>
    <row r="18" spans="1:11" s="23" customFormat="1" x14ac:dyDescent="0.2"/>
    <row r="19" spans="1:11" s="23" customFormat="1" x14ac:dyDescent="0.2">
      <c r="A19" s="15" t="s">
        <v>29</v>
      </c>
      <c r="B19" s="19">
        <v>0</v>
      </c>
      <c r="C19" s="19">
        <v>0</v>
      </c>
      <c r="D19" s="19">
        <v>0</v>
      </c>
      <c r="E19" s="19">
        <v>0</v>
      </c>
      <c r="F19" s="19">
        <v>0</v>
      </c>
      <c r="G19" s="19">
        <v>0</v>
      </c>
      <c r="H19" s="19">
        <v>0</v>
      </c>
      <c r="I19" s="19">
        <v>0</v>
      </c>
      <c r="J19" s="19">
        <v>0</v>
      </c>
      <c r="K19" s="19">
        <v>0</v>
      </c>
    </row>
    <row r="20" spans="1:11" s="23" customFormat="1" x14ac:dyDescent="0.2">
      <c r="A20" s="15" t="s">
        <v>28</v>
      </c>
      <c r="B20" s="19">
        <v>0</v>
      </c>
      <c r="C20" s="19">
        <v>0</v>
      </c>
      <c r="D20" s="19">
        <v>0</v>
      </c>
      <c r="E20" s="19">
        <v>0</v>
      </c>
      <c r="F20" s="19">
        <v>0</v>
      </c>
      <c r="G20" s="19">
        <v>0</v>
      </c>
      <c r="H20" s="19">
        <v>0</v>
      </c>
      <c r="I20" s="19">
        <v>0</v>
      </c>
      <c r="J20" s="19">
        <v>0</v>
      </c>
      <c r="K20" s="19">
        <v>0</v>
      </c>
    </row>
    <row r="21" spans="1:11" s="23" customFormat="1" x14ac:dyDescent="0.2">
      <c r="A21" s="15" t="s">
        <v>18</v>
      </c>
      <c r="B21" s="19">
        <v>0</v>
      </c>
      <c r="C21" s="19">
        <v>0</v>
      </c>
      <c r="D21" s="19">
        <v>0</v>
      </c>
      <c r="E21" s="19">
        <v>0</v>
      </c>
      <c r="F21" s="19">
        <v>0</v>
      </c>
      <c r="G21" s="19">
        <v>0</v>
      </c>
      <c r="H21" s="19">
        <v>0</v>
      </c>
      <c r="I21" s="19">
        <v>0</v>
      </c>
      <c r="J21" s="19">
        <v>0</v>
      </c>
      <c r="K21" s="19">
        <v>0</v>
      </c>
    </row>
    <row r="22" spans="1:11" s="22" customFormat="1" x14ac:dyDescent="0.2">
      <c r="A22" s="22" t="s">
        <v>23</v>
      </c>
      <c r="B22" s="20">
        <f t="shared" ref="B22:C22" si="4">B16+B19+B20+B21</f>
        <v>59.965000000000003</v>
      </c>
      <c r="C22" s="20">
        <f t="shared" si="4"/>
        <v>58.573</v>
      </c>
      <c r="D22" s="20">
        <f t="shared" ref="D22:K22" si="5">D16+D19+D20+D21</f>
        <v>64.760999999999996</v>
      </c>
      <c r="E22" s="20">
        <f t="shared" si="5"/>
        <v>59.805999999999997</v>
      </c>
      <c r="F22" s="20">
        <f t="shared" si="5"/>
        <v>61.578000000000003</v>
      </c>
      <c r="G22" s="20">
        <f t="shared" si="5"/>
        <v>52.841000000000001</v>
      </c>
      <c r="H22" s="20">
        <f t="shared" si="5"/>
        <v>56.074000000000012</v>
      </c>
      <c r="I22" s="20">
        <f t="shared" si="5"/>
        <v>54.500999999999998</v>
      </c>
      <c r="J22" s="20">
        <f t="shared" si="5"/>
        <v>57.973999999999997</v>
      </c>
      <c r="K22" s="20">
        <f t="shared" si="5"/>
        <v>49.332999999999998</v>
      </c>
    </row>
    <row r="23" spans="1:11" s="22" customFormat="1" x14ac:dyDescent="0.2">
      <c r="B23" s="20"/>
      <c r="C23" s="20"/>
      <c r="D23" s="20"/>
      <c r="E23" s="20"/>
      <c r="F23" s="20"/>
      <c r="G23" s="20"/>
      <c r="H23" s="20"/>
      <c r="I23" s="20"/>
      <c r="J23" s="20"/>
      <c r="K23" s="20"/>
    </row>
    <row r="24" spans="1:11" s="22" customFormat="1" x14ac:dyDescent="0.2">
      <c r="A24" s="22" t="s">
        <v>27</v>
      </c>
      <c r="B24" s="20">
        <f t="shared" ref="B24:G24" si="6">SUM(B22:E22)</f>
        <v>243.10500000000002</v>
      </c>
      <c r="C24" s="20">
        <f t="shared" si="6"/>
        <v>244.71799999999999</v>
      </c>
      <c r="D24" s="20">
        <f t="shared" si="6"/>
        <v>238.98599999999999</v>
      </c>
      <c r="E24" s="20">
        <f t="shared" si="6"/>
        <v>230.29900000000001</v>
      </c>
      <c r="F24" s="20">
        <f t="shared" si="6"/>
        <v>224.99400000000003</v>
      </c>
      <c r="G24" s="20">
        <f t="shared" si="6"/>
        <v>221.39000000000001</v>
      </c>
      <c r="H24" s="20"/>
      <c r="I24" s="20"/>
      <c r="J24" s="20"/>
      <c r="K24" s="20"/>
    </row>
    <row r="25" spans="1:11" s="23" customFormat="1" x14ac:dyDescent="0.2">
      <c r="A25" s="15" t="s">
        <v>26</v>
      </c>
      <c r="B25" s="27">
        <f>269.49-B24</f>
        <v>26.384999999999991</v>
      </c>
      <c r="C25" s="27">
        <f>270.247-C24</f>
        <v>25.529000000000025</v>
      </c>
      <c r="D25" s="27">
        <f>261.615-D24</f>
        <v>22.629000000000019</v>
      </c>
      <c r="E25" s="27">
        <f>252.51-E24</f>
        <v>22.210999999999984</v>
      </c>
      <c r="F25" s="27">
        <f>246.609-F24</f>
        <v>21.614999999999981</v>
      </c>
      <c r="G25" s="27">
        <f>241.795-G24</f>
        <v>20.404999999999973</v>
      </c>
      <c r="H25" s="27"/>
      <c r="I25" s="27"/>
      <c r="J25" s="27"/>
      <c r="K25" s="27"/>
    </row>
    <row r="26" spans="1:11" s="23" customFormat="1" x14ac:dyDescent="0.2">
      <c r="A26" s="15" t="s">
        <v>25</v>
      </c>
      <c r="B26" s="21">
        <v>0</v>
      </c>
      <c r="C26" s="21">
        <v>0</v>
      </c>
      <c r="D26" s="21">
        <v>0</v>
      </c>
      <c r="E26" s="21">
        <v>0</v>
      </c>
      <c r="F26" s="21">
        <v>0</v>
      </c>
      <c r="G26" s="21">
        <v>0</v>
      </c>
      <c r="H26" s="21"/>
      <c r="I26" s="21"/>
      <c r="J26" s="26"/>
      <c r="K26" s="26"/>
    </row>
    <row r="27" spans="1:11" s="24" customFormat="1" x14ac:dyDescent="0.2">
      <c r="A27" s="22" t="s">
        <v>24</v>
      </c>
      <c r="B27" s="63">
        <f t="shared" ref="B27:G27" si="7">B24+B25+B26</f>
        <v>269.49</v>
      </c>
      <c r="C27" s="63">
        <f t="shared" si="7"/>
        <v>270.24700000000001</v>
      </c>
      <c r="D27" s="63">
        <f t="shared" si="7"/>
        <v>261.61500000000001</v>
      </c>
      <c r="E27" s="63">
        <f t="shared" si="7"/>
        <v>252.51</v>
      </c>
      <c r="F27" s="63">
        <f t="shared" si="7"/>
        <v>246.60900000000001</v>
      </c>
      <c r="G27" s="63">
        <f t="shared" si="7"/>
        <v>241.79499999999999</v>
      </c>
      <c r="H27" s="20"/>
      <c r="I27" s="20"/>
      <c r="J27" s="25"/>
      <c r="K27" s="25"/>
    </row>
    <row r="28" spans="1:11" s="23" customFormat="1" x14ac:dyDescent="0.2"/>
    <row r="29" spans="1:11" s="22" customFormat="1" x14ac:dyDescent="0.2">
      <c r="A29" s="22" t="s">
        <v>23</v>
      </c>
      <c r="B29" s="20">
        <f t="shared" ref="B29:K29" si="8">B22</f>
        <v>59.965000000000003</v>
      </c>
      <c r="C29" s="20">
        <f t="shared" si="8"/>
        <v>58.573</v>
      </c>
      <c r="D29" s="20">
        <f t="shared" si="8"/>
        <v>64.760999999999996</v>
      </c>
      <c r="E29" s="20">
        <f t="shared" si="8"/>
        <v>59.805999999999997</v>
      </c>
      <c r="F29" s="20">
        <f t="shared" si="8"/>
        <v>61.578000000000003</v>
      </c>
      <c r="G29" s="20">
        <f t="shared" si="8"/>
        <v>52.841000000000001</v>
      </c>
      <c r="H29" s="20">
        <f t="shared" si="8"/>
        <v>56.074000000000012</v>
      </c>
      <c r="I29" s="20">
        <f t="shared" si="8"/>
        <v>54.500999999999998</v>
      </c>
      <c r="J29" s="20">
        <f t="shared" si="8"/>
        <v>57.973999999999997</v>
      </c>
      <c r="K29" s="20">
        <f t="shared" si="8"/>
        <v>49.332999999999998</v>
      </c>
    </row>
    <row r="30" spans="1:11" s="11" customFormat="1" x14ac:dyDescent="0.2">
      <c r="A30" s="19" t="s">
        <v>22</v>
      </c>
      <c r="B30" s="19">
        <f>-35.097-C30</f>
        <v>-19.214000000000002</v>
      </c>
      <c r="C30" s="19">
        <v>-15.882999999999999</v>
      </c>
      <c r="D30" s="19">
        <f>-62.435-E30-F30-G30</f>
        <v>-16.231999999999999</v>
      </c>
      <c r="E30" s="19">
        <f>-46.203-F30-G30</f>
        <v>-15.486000000000006</v>
      </c>
      <c r="F30" s="19">
        <f>-30.717-G30</f>
        <v>-16.659999999999997</v>
      </c>
      <c r="G30" s="19">
        <v>-14.057</v>
      </c>
      <c r="H30" s="19">
        <f>-54.507-I30-J30-K30</f>
        <v>-12.040999999999999</v>
      </c>
      <c r="I30" s="19">
        <f>-42.466-J30-K30</f>
        <v>-15.914000000000003</v>
      </c>
      <c r="J30" s="19">
        <f>-26.552-K30</f>
        <v>-14.049999999999999</v>
      </c>
      <c r="K30" s="19">
        <v>-12.502000000000001</v>
      </c>
    </row>
    <row r="31" spans="1:11" s="11" customFormat="1" x14ac:dyDescent="0.2">
      <c r="A31" s="19" t="s">
        <v>21</v>
      </c>
      <c r="B31" s="19">
        <f>2.567-C31</f>
        <v>-1.1039999999999996</v>
      </c>
      <c r="C31" s="19">
        <v>3.6709999999999998</v>
      </c>
      <c r="D31" s="19">
        <f>0.281-E31-F31-G31</f>
        <v>-0.51900000000000002</v>
      </c>
      <c r="E31" s="19">
        <f>0.8-F31-G31</f>
        <v>-0.20799999999999996</v>
      </c>
      <c r="F31" s="19">
        <f>1.008-G31</f>
        <v>-0.33699999999999997</v>
      </c>
      <c r="G31" s="19">
        <v>1.345</v>
      </c>
      <c r="H31" s="19">
        <f>-5.833-I31-J31-K31</f>
        <v>0.59199999999999975</v>
      </c>
      <c r="I31" s="19">
        <f>-6.425-J31-K31</f>
        <v>-0.10499999999999943</v>
      </c>
      <c r="J31" s="19">
        <f>-6.32-K31</f>
        <v>-6.1820000000000004</v>
      </c>
      <c r="K31" s="19">
        <v>-0.13800000000000001</v>
      </c>
    </row>
    <row r="32" spans="1:11" s="11" customFormat="1" x14ac:dyDescent="0.2">
      <c r="A32" s="19" t="s">
        <v>20</v>
      </c>
      <c r="B32" s="19">
        <f>-0.183+0.43-10.555-0.655+1.768+15.849-C32</f>
        <v>-15.403</v>
      </c>
      <c r="C32" s="19">
        <f>-0.252-0.054-6.745+0.754+3.745+24.609</f>
        <v>22.057000000000002</v>
      </c>
      <c r="D32" s="19">
        <f>5.983-0.972+13.092+2.054+3.582-0.908-E32-F32-G32</f>
        <v>11.98</v>
      </c>
      <c r="E32" s="19">
        <f>0.622-2.249+5.504-10.681+8.866+8.789-F32-G32</f>
        <v>1.4639999999999986</v>
      </c>
      <c r="F32" s="19">
        <f>1.532-2.157+5.58-0.023+4.029+0.426-G32</f>
        <v>1.3079999999999998</v>
      </c>
      <c r="G32" s="19">
        <f>1.768-1.652+2.669-3.3+6.234+2.36</f>
        <v>8.0790000000000006</v>
      </c>
      <c r="H32" s="19">
        <f>-2.048-0.85-12.794+0.027+7.266+17.672-I32-J32-K32</f>
        <v>-8.100000000000307E-2</v>
      </c>
      <c r="I32" s="19">
        <f>-3.418+0.09-12.593-2.624+10.324+17.575-J32-K32</f>
        <v>-7.9449999999999985</v>
      </c>
      <c r="J32" s="19">
        <f>-2.466+0.369-14.857+0.159+5.919+28.175-K32</f>
        <v>-0.13400000000000034</v>
      </c>
      <c r="K32" s="19">
        <f>0.034+0.02-2.302+0.175+5.65+13.856</f>
        <v>17.433</v>
      </c>
    </row>
    <row r="33" spans="1:12" s="11" customFormat="1" x14ac:dyDescent="0.2">
      <c r="A33" s="19" t="s">
        <v>19</v>
      </c>
      <c r="B33" s="19">
        <v>0</v>
      </c>
      <c r="C33" s="19">
        <v>0</v>
      </c>
      <c r="D33" s="19">
        <v>0</v>
      </c>
      <c r="E33" s="19">
        <v>0</v>
      </c>
      <c r="F33" s="19">
        <v>0</v>
      </c>
      <c r="G33" s="19">
        <v>0</v>
      </c>
      <c r="H33" s="19">
        <v>0</v>
      </c>
      <c r="I33" s="19">
        <v>0</v>
      </c>
      <c r="J33" s="19">
        <v>0</v>
      </c>
      <c r="K33" s="19">
        <v>0</v>
      </c>
    </row>
    <row r="34" spans="1:12" s="11" customFormat="1" x14ac:dyDescent="0.2">
      <c r="A34" s="19" t="s">
        <v>18</v>
      </c>
      <c r="B34" s="21">
        <v>0</v>
      </c>
      <c r="C34" s="21">
        <v>0</v>
      </c>
      <c r="D34" s="21">
        <v>0</v>
      </c>
      <c r="E34" s="21">
        <v>0</v>
      </c>
      <c r="F34" s="21">
        <v>0</v>
      </c>
      <c r="G34" s="21">
        <v>0</v>
      </c>
      <c r="H34" s="21">
        <v>0</v>
      </c>
      <c r="I34" s="21">
        <v>0</v>
      </c>
      <c r="J34" s="21">
        <v>0</v>
      </c>
      <c r="K34" s="21">
        <v>0</v>
      </c>
    </row>
    <row r="35" spans="1:12" s="20" customFormat="1" x14ac:dyDescent="0.2">
      <c r="A35" s="20" t="s">
        <v>17</v>
      </c>
      <c r="B35" s="20">
        <f>80.128-C35</f>
        <v>28.734000000000002</v>
      </c>
      <c r="C35" s="20">
        <v>51.393999999999998</v>
      </c>
      <c r="D35" s="20">
        <f>184.222-E35-F35-G35</f>
        <v>24.223000000000013</v>
      </c>
      <c r="E35" s="20">
        <f>159.999-F35-G35</f>
        <v>76.655000000000001</v>
      </c>
      <c r="F35" s="20">
        <f>83.344-G35</f>
        <v>32.024999999999991</v>
      </c>
      <c r="G35" s="20">
        <v>51.319000000000003</v>
      </c>
      <c r="H35" s="20">
        <f>166.575-I35-J35-K35</f>
        <v>57.219999999999978</v>
      </c>
      <c r="I35" s="20">
        <f>109.355-J35-K35</f>
        <v>19.856999999999999</v>
      </c>
      <c r="J35" s="20">
        <f>89.498-K35</f>
        <v>47.473000000000006</v>
      </c>
      <c r="K35" s="20">
        <v>42.024999999999999</v>
      </c>
    </row>
    <row r="36" spans="1:12" s="11" customFormat="1" x14ac:dyDescent="0.2">
      <c r="A36" s="19" t="s">
        <v>16</v>
      </c>
      <c r="B36" s="21">
        <f>-128.911-C36</f>
        <v>-71.17</v>
      </c>
      <c r="C36" s="21">
        <v>-57.741</v>
      </c>
      <c r="D36" s="21">
        <f>-175.302-E36-F36-G36</f>
        <v>-39.965999999999973</v>
      </c>
      <c r="E36" s="21">
        <f>-135.336-F36-G36</f>
        <v>-64.00200000000001</v>
      </c>
      <c r="F36" s="21">
        <f>-71.334-G36</f>
        <v>-36.478000000000002</v>
      </c>
      <c r="G36" s="21">
        <v>-34.856000000000002</v>
      </c>
      <c r="H36" s="21">
        <f>-162.873-I36-J36-K36</f>
        <v>-25.519999999999982</v>
      </c>
      <c r="I36" s="21">
        <f>-137.353-J36-K36</f>
        <v>-41.833000000000013</v>
      </c>
      <c r="J36" s="21">
        <f>-95.52-K36</f>
        <v>-48.965999999999994</v>
      </c>
      <c r="K36" s="21">
        <v>-46.554000000000002</v>
      </c>
    </row>
    <row r="37" spans="1:12" s="20" customFormat="1" x14ac:dyDescent="0.2">
      <c r="A37" s="20" t="s">
        <v>15</v>
      </c>
      <c r="B37" s="20">
        <f t="shared" ref="B37:K37" si="9">B35+B36</f>
        <v>-42.436</v>
      </c>
      <c r="C37" s="20">
        <f t="shared" si="9"/>
        <v>-6.3470000000000013</v>
      </c>
      <c r="D37" s="20">
        <f t="shared" si="9"/>
        <v>-15.742999999999959</v>
      </c>
      <c r="E37" s="20">
        <f t="shared" si="9"/>
        <v>12.652999999999992</v>
      </c>
      <c r="F37" s="20">
        <f t="shared" si="9"/>
        <v>-4.4530000000000101</v>
      </c>
      <c r="G37" s="20">
        <f t="shared" si="9"/>
        <v>16.463000000000001</v>
      </c>
      <c r="H37" s="20">
        <f t="shared" si="9"/>
        <v>31.699999999999996</v>
      </c>
      <c r="I37" s="20">
        <f t="shared" si="9"/>
        <v>-21.976000000000013</v>
      </c>
      <c r="J37" s="20">
        <f t="shared" si="9"/>
        <v>-1.4929999999999879</v>
      </c>
      <c r="K37" s="20">
        <f t="shared" si="9"/>
        <v>-4.5290000000000035</v>
      </c>
    </row>
    <row r="39" spans="1:12" s="16" customFormat="1" x14ac:dyDescent="0.2">
      <c r="A39" s="18" t="s">
        <v>14</v>
      </c>
      <c r="B39" s="19">
        <v>10.487</v>
      </c>
      <c r="C39" s="19">
        <v>10.451000000000001</v>
      </c>
      <c r="D39" s="19">
        <v>0</v>
      </c>
      <c r="E39" s="19">
        <v>0</v>
      </c>
      <c r="F39" s="19"/>
      <c r="G39" s="19">
        <v>10.451000000000001</v>
      </c>
      <c r="H39" s="19"/>
      <c r="I39" s="19"/>
      <c r="J39" s="19"/>
      <c r="K39" s="19"/>
    </row>
    <row r="40" spans="1:12" s="16" customFormat="1" x14ac:dyDescent="0.2">
      <c r="A40" s="18" t="s">
        <v>13</v>
      </c>
      <c r="B40" s="19">
        <f>992.381+1.342</f>
        <v>993.72299999999996</v>
      </c>
      <c r="C40" s="19">
        <f>994.166+1.429</f>
        <v>995.59500000000003</v>
      </c>
      <c r="D40" s="19">
        <f>786+200+3</f>
        <v>989</v>
      </c>
      <c r="E40" s="19">
        <f>986+3</f>
        <v>989</v>
      </c>
      <c r="F40" s="19"/>
      <c r="G40" s="19">
        <f>994.166+1.429</f>
        <v>995.59500000000003</v>
      </c>
      <c r="H40" s="19"/>
      <c r="I40" s="19"/>
      <c r="J40" s="19"/>
      <c r="K40" s="19"/>
      <c r="L40" s="11"/>
    </row>
    <row r="41" spans="1:12" s="16" customFormat="1" x14ac:dyDescent="0.2">
      <c r="A41" s="18" t="s">
        <v>12</v>
      </c>
      <c r="B41" s="19">
        <f>B39+B40+197.499+5.924</f>
        <v>1207.6329999999998</v>
      </c>
      <c r="C41" s="19">
        <f>C39+C40+197.379+1.009</f>
        <v>1204.434</v>
      </c>
      <c r="D41" s="19">
        <f>D39+D40+200</f>
        <v>1189</v>
      </c>
      <c r="E41" s="19">
        <f>E39+E40+200</f>
        <v>1189</v>
      </c>
      <c r="F41" s="19"/>
      <c r="G41" s="19">
        <f>G39+G40+197.379+1.009</f>
        <v>1204.434</v>
      </c>
      <c r="H41" s="19"/>
      <c r="I41" s="19"/>
      <c r="J41" s="19"/>
      <c r="K41" s="19"/>
      <c r="L41" s="11"/>
    </row>
    <row r="42" spans="1:12" s="16" customFormat="1" x14ac:dyDescent="0.2">
      <c r="A42" s="18" t="s">
        <v>11</v>
      </c>
      <c r="B42" s="17">
        <v>1201.7999999999997</v>
      </c>
      <c r="C42" s="17">
        <v>1201.7999999999997</v>
      </c>
      <c r="D42" s="17">
        <v>1201.7999999999997</v>
      </c>
      <c r="E42" s="17">
        <v>1201.7999999999997</v>
      </c>
      <c r="F42" s="17"/>
      <c r="G42" s="17"/>
      <c r="H42" s="17"/>
      <c r="I42" s="17"/>
      <c r="J42" s="17"/>
      <c r="K42" s="17"/>
    </row>
    <row r="43" spans="1:12" x14ac:dyDescent="0.2">
      <c r="B43" s="16"/>
      <c r="C43" s="16"/>
      <c r="D43" s="16"/>
      <c r="E43" s="16"/>
      <c r="F43" s="16"/>
      <c r="G43" s="16"/>
    </row>
    <row r="44" spans="1:12" x14ac:dyDescent="0.2">
      <c r="A44" s="15" t="s">
        <v>10</v>
      </c>
      <c r="B44" s="27">
        <v>227.733</v>
      </c>
      <c r="C44" s="27">
        <v>266.67200000000003</v>
      </c>
      <c r="D44" s="27">
        <v>256</v>
      </c>
      <c r="E44" s="27">
        <v>256</v>
      </c>
      <c r="F44" s="27"/>
      <c r="G44" s="27"/>
      <c r="H44" s="27"/>
      <c r="I44" s="27"/>
      <c r="J44" s="27"/>
      <c r="K44" s="14"/>
    </row>
    <row r="46" spans="1:12" x14ac:dyDescent="0.2">
      <c r="A46" s="1" t="s">
        <v>9</v>
      </c>
      <c r="B46" s="13">
        <f>SUM(B12:E12)</f>
        <v>1146.4189999999999</v>
      </c>
      <c r="C46" s="13">
        <f>SUM(C12:F12)</f>
        <v>1125.4359999999999</v>
      </c>
      <c r="D46" s="13">
        <f>SUM(D12:G12)</f>
        <v>1101.7809999999999</v>
      </c>
      <c r="E46" s="12">
        <v>1073.2</v>
      </c>
      <c r="F46" s="11"/>
      <c r="G46" s="11"/>
      <c r="H46" s="11"/>
      <c r="I46" s="11"/>
    </row>
    <row r="47" spans="1:12" x14ac:dyDescent="0.2">
      <c r="A47" s="1" t="s">
        <v>8</v>
      </c>
      <c r="B47" s="13">
        <f>B27</f>
        <v>269.49</v>
      </c>
      <c r="C47" s="13">
        <f>C27</f>
        <v>270.24700000000001</v>
      </c>
      <c r="D47" s="13">
        <f>D27</f>
        <v>261.61500000000001</v>
      </c>
      <c r="E47" s="13">
        <f>E27</f>
        <v>252.51</v>
      </c>
      <c r="F47" s="11"/>
      <c r="G47" s="11"/>
      <c r="H47" s="11"/>
      <c r="I47" s="11"/>
    </row>
    <row r="48" spans="1:12" x14ac:dyDescent="0.2">
      <c r="A48" s="1" t="s">
        <v>7</v>
      </c>
      <c r="B48" s="13">
        <f>C48+B37-F37</f>
        <v>-18.440979999999961</v>
      </c>
      <c r="C48" s="13">
        <f>D48+C37-G37</f>
        <v>19.542020000000029</v>
      </c>
      <c r="D48" s="13">
        <f>E48+D37-H37</f>
        <v>42.352020000000032</v>
      </c>
      <c r="E48" s="12">
        <v>89.795019999999994</v>
      </c>
      <c r="F48" s="11"/>
      <c r="G48" s="11"/>
      <c r="H48" s="11"/>
      <c r="I48" s="11"/>
    </row>
    <row r="50" spans="1:11" s="10" customFormat="1" x14ac:dyDescent="0.2">
      <c r="A50" s="10" t="s">
        <v>6</v>
      </c>
      <c r="B50" s="10">
        <f>+SUM(B39:B40)/B47</f>
        <v>3.7263349289398491</v>
      </c>
      <c r="C50" s="10">
        <f>+SUM(C39:C40)/C47</f>
        <v>3.7226907236713083</v>
      </c>
      <c r="D50" s="10">
        <f>+SUM(D39:D40)/D47</f>
        <v>3.7803642757487146</v>
      </c>
      <c r="E50" s="10">
        <f>+SUM(E39:E40)/E47</f>
        <v>3.9166765672646631</v>
      </c>
    </row>
    <row r="51" spans="1:11" s="10" customFormat="1" x14ac:dyDescent="0.2">
      <c r="A51" s="10" t="s">
        <v>5</v>
      </c>
      <c r="B51" s="10">
        <f>+B41/B47</f>
        <v>4.481179264536717</v>
      </c>
      <c r="C51" s="10">
        <f>+C41/C47</f>
        <v>4.4567895295784963</v>
      </c>
      <c r="D51" s="10">
        <f>+D41/D47</f>
        <v>4.5448464346463311</v>
      </c>
      <c r="E51" s="10">
        <f>+E41/E47</f>
        <v>4.7087244069541798</v>
      </c>
    </row>
    <row r="52" spans="1:11" s="10" customFormat="1" x14ac:dyDescent="0.2">
      <c r="A52" s="10" t="s">
        <v>4</v>
      </c>
      <c r="B52" s="10">
        <f>+(B41-B44)/B47</f>
        <v>3.6361275000927673</v>
      </c>
      <c r="C52" s="10">
        <f>+(C41-C44)/C47</f>
        <v>3.4700181685643128</v>
      </c>
      <c r="D52" s="10">
        <f>+(D41-D44)/D47</f>
        <v>3.5663092712573818</v>
      </c>
      <c r="E52" s="10">
        <f>+(E41-E44)/E47</f>
        <v>3.6949031721515979</v>
      </c>
    </row>
    <row r="53" spans="1:11" s="6" customFormat="1" x14ac:dyDescent="0.2">
      <c r="A53" s="6" t="s">
        <v>3</v>
      </c>
      <c r="B53" s="6">
        <f>+B48/B41</f>
        <v>-1.5270351174570389E-2</v>
      </c>
      <c r="C53" s="6">
        <f>+C48/C41</f>
        <v>1.622506505130213E-2</v>
      </c>
      <c r="D53" s="6">
        <f>+D48/D41</f>
        <v>3.5619865433137117E-2</v>
      </c>
      <c r="E53" s="6">
        <f>+E48/E41</f>
        <v>7.5521463414634143E-2</v>
      </c>
    </row>
    <row r="54" spans="1:11" s="6" customFormat="1" x14ac:dyDescent="0.2">
      <c r="A54" s="8" t="s">
        <v>2</v>
      </c>
      <c r="B54" s="9"/>
      <c r="C54" s="9"/>
      <c r="D54" s="9"/>
      <c r="E54" s="9"/>
      <c r="F54" s="9"/>
      <c r="G54" s="9"/>
      <c r="H54" s="9"/>
      <c r="I54" s="9"/>
      <c r="J54" s="8"/>
      <c r="K54" s="8"/>
    </row>
    <row r="55" spans="1:11" s="6" customFormat="1" x14ac:dyDescent="0.2">
      <c r="A55" s="6" t="s">
        <v>1</v>
      </c>
      <c r="B55" s="7">
        <f>IF(B42=0,IF(B54="","","*"&amp;TEXT(B54,"0.0x")),(B41+B42-B44)/B47)</f>
        <v>8.0956621767041419</v>
      </c>
      <c r="C55" s="7">
        <f>IF(C42=0,IF(C54="","","*"&amp;TEXT(C54,"0.0x")),(C41+C42-C44)/C47)</f>
        <v>7.9170610589571737</v>
      </c>
      <c r="D55" s="7">
        <f>IF(D42=0,IF(D54="","","*"&amp;TEXT(D54,"0.0x")),(D41+D42-D44)/D47)</f>
        <v>8.1600825640731589</v>
      </c>
      <c r="E55" s="7">
        <f>IF(E42=0,IF(E54="","","*"&amp;TEXT(E54,"0.0x")),(E41+E42-E44)/E47)</f>
        <v>8.4543186408459068</v>
      </c>
      <c r="F55" s="7"/>
      <c r="G55" s="7"/>
      <c r="H55" s="7"/>
      <c r="I55" s="7"/>
      <c r="J55" s="7"/>
      <c r="K55" s="7" t="str">
        <f t="shared" ref="K55" si="10">IF(K42=0,IF(K54="","",CONCATENATE("* ",K54,"x")),(K41+K42-K44)/K47)</f>
        <v/>
      </c>
    </row>
    <row r="56" spans="1:11" x14ac:dyDescent="0.2">
      <c r="I56" s="3"/>
    </row>
    <row r="57" spans="1:11" ht="80.25" customHeight="1" x14ac:dyDescent="0.2">
      <c r="A57" s="5" t="s">
        <v>0</v>
      </c>
      <c r="B57" s="4" t="s">
        <v>235</v>
      </c>
      <c r="C57" s="4" t="s">
        <v>235</v>
      </c>
      <c r="D57" s="4" t="s">
        <v>235</v>
      </c>
      <c r="E57" s="4" t="s">
        <v>327</v>
      </c>
      <c r="F57" s="4"/>
      <c r="G57" s="4"/>
      <c r="H57" s="4"/>
      <c r="I57" s="4"/>
      <c r="J57" s="4"/>
      <c r="K57" s="4"/>
    </row>
    <row r="58" spans="1:11" x14ac:dyDescent="0.2">
      <c r="A58" s="2"/>
      <c r="B58" s="3"/>
      <c r="C58" s="3"/>
      <c r="D58" s="3"/>
      <c r="E58" s="3"/>
    </row>
    <row r="59" spans="1:11" x14ac:dyDescent="0.2">
      <c r="A59" s="2"/>
    </row>
  </sheetData>
  <pageMargins left="0.7" right="0.7" top="0.75" bottom="0.75" header="0.3" footer="0.3"/>
  <pageSetup orientation="portrait" r:id="rId1"/>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4" width="10.7109375" style="1" customWidth="1"/>
    <col min="15" max="16384" width="9.140625" style="1"/>
  </cols>
  <sheetData>
    <row r="2" spans="1:14" x14ac:dyDescent="0.2">
      <c r="A2" s="34" t="s">
        <v>45</v>
      </c>
      <c r="B2" s="1" t="s">
        <v>329</v>
      </c>
    </row>
    <row r="3" spans="1:14" s="35" customFormat="1" x14ac:dyDescent="0.2">
      <c r="A3" s="36" t="s">
        <v>43</v>
      </c>
      <c r="B3" s="35" t="s">
        <v>333</v>
      </c>
    </row>
    <row r="4" spans="1:14" x14ac:dyDescent="0.2">
      <c r="A4" s="34" t="s">
        <v>41</v>
      </c>
      <c r="B4" s="1" t="s">
        <v>40</v>
      </c>
    </row>
    <row r="5" spans="1:14" x14ac:dyDescent="0.2">
      <c r="A5" s="34" t="s">
        <v>39</v>
      </c>
    </row>
    <row r="6" spans="1:14" x14ac:dyDescent="0.2">
      <c r="A6" s="34" t="s">
        <v>38</v>
      </c>
      <c r="B6" s="1">
        <v>4</v>
      </c>
    </row>
    <row r="7" spans="1:14" x14ac:dyDescent="0.2">
      <c r="A7" s="34" t="s">
        <v>37</v>
      </c>
      <c r="B7" s="1" t="s">
        <v>373</v>
      </c>
    </row>
    <row r="8" spans="1:14" x14ac:dyDescent="0.2">
      <c r="A8" s="34" t="s">
        <v>281</v>
      </c>
      <c r="B8" s="1" t="s">
        <v>332</v>
      </c>
    </row>
    <row r="9" spans="1:14" x14ac:dyDescent="0.2">
      <c r="A9" s="22"/>
    </row>
    <row r="10" spans="1:14" x14ac:dyDescent="0.2">
      <c r="A10" s="22" t="s">
        <v>36</v>
      </c>
      <c r="B10" s="33">
        <v>43921</v>
      </c>
      <c r="C10" s="33">
        <v>43830</v>
      </c>
      <c r="D10" s="33">
        <v>43738</v>
      </c>
      <c r="E10" s="33">
        <v>43646</v>
      </c>
      <c r="F10" s="33">
        <v>43555</v>
      </c>
      <c r="G10" s="33">
        <v>43465</v>
      </c>
      <c r="H10" s="33">
        <f>EOMONTH(G10,-3)</f>
        <v>43373</v>
      </c>
      <c r="I10" s="33">
        <f t="shared" ref="I10:N10" si="0">EOMONTH(H10,-3)</f>
        <v>43281</v>
      </c>
      <c r="J10" s="33">
        <f t="shared" si="0"/>
        <v>43190</v>
      </c>
      <c r="K10" s="33">
        <f t="shared" si="0"/>
        <v>43100</v>
      </c>
      <c r="L10" s="33">
        <f t="shared" si="0"/>
        <v>43008</v>
      </c>
      <c r="M10" s="33">
        <f t="shared" si="0"/>
        <v>42916</v>
      </c>
      <c r="N10" s="33">
        <f t="shared" si="0"/>
        <v>42825</v>
      </c>
    </row>
    <row r="12" spans="1:14" x14ac:dyDescent="0.2">
      <c r="A12" s="15" t="s">
        <v>35</v>
      </c>
      <c r="B12" s="19">
        <v>337.65499999999997</v>
      </c>
      <c r="C12" s="19">
        <f>1131.157-D12-E12-F12</f>
        <v>272.78599999999994</v>
      </c>
      <c r="D12" s="19">
        <v>303.89999999999998</v>
      </c>
      <c r="E12" s="19">
        <v>340.37700000000001</v>
      </c>
      <c r="F12" s="19">
        <v>214.09399999999999</v>
      </c>
      <c r="G12" s="19">
        <f>606.299-H12-I12-J12</f>
        <v>153.03699999999998</v>
      </c>
      <c r="H12" s="19">
        <v>151.46700000000001</v>
      </c>
      <c r="I12" s="19">
        <v>151.86500000000001</v>
      </c>
      <c r="J12" s="19">
        <v>149.93</v>
      </c>
      <c r="K12" s="19">
        <f>556.942-L12-M12-N12</f>
        <v>139.35500000000005</v>
      </c>
      <c r="L12" s="19">
        <v>137.703</v>
      </c>
      <c r="M12" s="19">
        <v>138.91399999999999</v>
      </c>
      <c r="N12" s="19">
        <v>140.97</v>
      </c>
    </row>
    <row r="13" spans="1:14" s="28" customFormat="1" x14ac:dyDescent="0.2">
      <c r="A13" s="28" t="s">
        <v>34</v>
      </c>
      <c r="B13" s="28">
        <f t="shared" ref="B13:G13" si="1">+B12/F12-1</f>
        <v>0.5771343428587441</v>
      </c>
      <c r="C13" s="28">
        <f t="shared" si="1"/>
        <v>0.78248397446369178</v>
      </c>
      <c r="D13" s="28">
        <f t="shared" si="1"/>
        <v>1.0063776268097997</v>
      </c>
      <c r="E13" s="28">
        <f t="shared" si="1"/>
        <v>1.2413130082639183</v>
      </c>
      <c r="F13" s="28">
        <f t="shared" si="1"/>
        <v>0.42795971453344883</v>
      </c>
      <c r="G13" s="28">
        <f t="shared" si="1"/>
        <v>9.8180904883211406E-2</v>
      </c>
      <c r="H13" s="28">
        <f t="shared" ref="H13:J13" si="2">+H12/L12-1</f>
        <v>9.9954249362758985E-2</v>
      </c>
      <c r="I13" s="28">
        <f t="shared" si="2"/>
        <v>9.3230343953813355E-2</v>
      </c>
      <c r="J13" s="28">
        <f t="shared" si="2"/>
        <v>6.3559622614740796E-2</v>
      </c>
    </row>
    <row r="14" spans="1:14" s="23" customFormat="1" x14ac:dyDescent="0.2">
      <c r="A14" s="31" t="s">
        <v>33</v>
      </c>
      <c r="B14" s="32" t="s">
        <v>32</v>
      </c>
      <c r="C14" s="32" t="s">
        <v>32</v>
      </c>
      <c r="D14" s="32" t="s">
        <v>32</v>
      </c>
      <c r="E14" s="32" t="s">
        <v>32</v>
      </c>
      <c r="F14" s="32" t="s">
        <v>32</v>
      </c>
      <c r="G14" s="32" t="s">
        <v>32</v>
      </c>
      <c r="H14" s="32" t="s">
        <v>32</v>
      </c>
      <c r="I14" s="32" t="s">
        <v>32</v>
      </c>
      <c r="J14" s="32" t="s">
        <v>32</v>
      </c>
      <c r="K14" s="32"/>
      <c r="L14" s="32"/>
      <c r="M14" s="32"/>
      <c r="N14" s="32"/>
    </row>
    <row r="16" spans="1:14" s="22" customFormat="1" x14ac:dyDescent="0.2">
      <c r="A16" s="30" t="s">
        <v>31</v>
      </c>
      <c r="B16" s="29">
        <f>-176.825+199.5</f>
        <v>22.675000000000011</v>
      </c>
      <c r="C16" s="29">
        <f>-330.196+377.1</f>
        <v>46.903999999999996</v>
      </c>
      <c r="D16" s="29">
        <v>57.310999999999993</v>
      </c>
      <c r="E16" s="29">
        <f>70.3-4.43</f>
        <v>65.87</v>
      </c>
      <c r="F16" s="29">
        <f>20.83</f>
        <v>20.83</v>
      </c>
      <c r="G16" s="29">
        <v>33.307000000000002</v>
      </c>
      <c r="H16" s="29">
        <v>36.603000000000002</v>
      </c>
      <c r="I16" s="29">
        <v>34.969000000000001</v>
      </c>
      <c r="J16" s="29">
        <v>34.480000000000004</v>
      </c>
      <c r="K16" s="29">
        <v>27.219000000000001</v>
      </c>
      <c r="L16" s="29">
        <v>35.341999999999999</v>
      </c>
      <c r="M16" s="29">
        <v>31.719000000000001</v>
      </c>
      <c r="N16" s="29">
        <v>29.472999999999999</v>
      </c>
    </row>
    <row r="17" spans="1:14" s="28" customFormat="1" x14ac:dyDescent="0.2">
      <c r="A17" s="28" t="s">
        <v>30</v>
      </c>
      <c r="B17" s="28">
        <f t="shared" ref="B17:G17" si="3">+B16/B12</f>
        <v>6.7154343930935459E-2</v>
      </c>
      <c r="C17" s="28">
        <f t="shared" si="3"/>
        <v>0.17194430799234567</v>
      </c>
      <c r="D17" s="28">
        <f t="shared" si="3"/>
        <v>0.18858506087528792</v>
      </c>
      <c r="E17" s="28">
        <f t="shared" si="3"/>
        <v>0.19352071379676067</v>
      </c>
      <c r="F17" s="28">
        <f t="shared" si="3"/>
        <v>9.7293712107765745E-2</v>
      </c>
      <c r="G17" s="28">
        <f t="shared" si="3"/>
        <v>0.21764017851892031</v>
      </c>
      <c r="H17" s="28">
        <f t="shared" ref="H17:N17" si="4">+H16/H12</f>
        <v>0.24165659846699281</v>
      </c>
      <c r="I17" s="28">
        <f t="shared" si="4"/>
        <v>0.23026372106805384</v>
      </c>
      <c r="J17" s="28">
        <f t="shared" si="4"/>
        <v>0.22997398786100182</v>
      </c>
      <c r="K17" s="28">
        <f t="shared" si="4"/>
        <v>0.19532130171145629</v>
      </c>
      <c r="L17" s="28">
        <f t="shared" si="4"/>
        <v>0.25665381291620371</v>
      </c>
      <c r="M17" s="28">
        <f t="shared" si="4"/>
        <v>0.22833551693853754</v>
      </c>
      <c r="N17" s="28">
        <f t="shared" si="4"/>
        <v>0.209072852379939</v>
      </c>
    </row>
    <row r="18" spans="1:14" s="23" customFormat="1" x14ac:dyDescent="0.2"/>
    <row r="19" spans="1:14" s="23" customFormat="1" x14ac:dyDescent="0.2">
      <c r="A19" s="15" t="s">
        <v>29</v>
      </c>
      <c r="B19" s="19">
        <v>0</v>
      </c>
      <c r="C19" s="19">
        <v>5.7610000000000001</v>
      </c>
      <c r="D19" s="19">
        <v>0</v>
      </c>
      <c r="E19" s="19">
        <v>0</v>
      </c>
      <c r="F19" s="19">
        <v>0</v>
      </c>
      <c r="G19" s="19">
        <f>36.976-G16</f>
        <v>3.6689999999999969</v>
      </c>
      <c r="H19" s="19">
        <v>0</v>
      </c>
      <c r="I19" s="19">
        <v>0</v>
      </c>
      <c r="J19" s="19">
        <v>0</v>
      </c>
      <c r="K19" s="19">
        <v>0</v>
      </c>
      <c r="L19" s="19">
        <v>0</v>
      </c>
      <c r="M19" s="19">
        <v>0</v>
      </c>
      <c r="N19" s="19">
        <v>1.639</v>
      </c>
    </row>
    <row r="20" spans="1:14" s="23" customFormat="1" x14ac:dyDescent="0.2">
      <c r="A20" s="15" t="s">
        <v>28</v>
      </c>
      <c r="B20" s="19">
        <f>5.377+0.742</f>
        <v>6.1189999999999998</v>
      </c>
      <c r="C20" s="19">
        <v>2.7989999999999999</v>
      </c>
      <c r="D20" s="19">
        <v>0</v>
      </c>
      <c r="E20" s="19">
        <v>0</v>
      </c>
      <c r="F20" s="19">
        <f>17.052+1.591</f>
        <v>18.643000000000001</v>
      </c>
      <c r="G20" s="19">
        <v>0</v>
      </c>
      <c r="H20" s="19">
        <v>0</v>
      </c>
      <c r="I20" s="19">
        <v>0.11799999999999999</v>
      </c>
      <c r="J20" s="19">
        <v>0</v>
      </c>
      <c r="K20" s="19">
        <v>2.5539999999999998</v>
      </c>
      <c r="L20" s="19">
        <v>0</v>
      </c>
      <c r="M20" s="19">
        <v>-5.1999999999999998E-2</v>
      </c>
      <c r="N20" s="19">
        <v>0.73699999999999999</v>
      </c>
    </row>
    <row r="21" spans="1:14" s="23" customFormat="1" x14ac:dyDescent="0.2">
      <c r="A21" s="15" t="s">
        <v>18</v>
      </c>
      <c r="B21" s="19">
        <v>0</v>
      </c>
      <c r="C21" s="19">
        <v>0</v>
      </c>
      <c r="D21" s="19">
        <v>-0.4719999999999942</v>
      </c>
      <c r="E21" s="19">
        <v>4.43</v>
      </c>
      <c r="F21" s="19">
        <v>0</v>
      </c>
      <c r="G21" s="19">
        <v>0</v>
      </c>
      <c r="H21" s="19">
        <v>-3.3000000000001251E-2</v>
      </c>
      <c r="I21" s="19">
        <v>0</v>
      </c>
      <c r="J21" s="19">
        <v>-1.3800000000000026</v>
      </c>
      <c r="K21" s="19">
        <v>0</v>
      </c>
      <c r="L21" s="19">
        <v>0</v>
      </c>
      <c r="M21" s="19">
        <v>0</v>
      </c>
      <c r="N21" s="19">
        <v>0</v>
      </c>
    </row>
    <row r="22" spans="1:14" s="22" customFormat="1" x14ac:dyDescent="0.2">
      <c r="A22" s="22" t="s">
        <v>23</v>
      </c>
      <c r="B22" s="20">
        <f t="shared" ref="B22:G22" si="5">SUM(B16,B19:B21)</f>
        <v>28.794000000000011</v>
      </c>
      <c r="C22" s="20">
        <f t="shared" si="5"/>
        <v>55.463999999999999</v>
      </c>
      <c r="D22" s="20">
        <f t="shared" si="5"/>
        <v>56.838999999999999</v>
      </c>
      <c r="E22" s="20">
        <f t="shared" si="5"/>
        <v>70.300000000000011</v>
      </c>
      <c r="F22" s="20">
        <f t="shared" si="5"/>
        <v>39.472999999999999</v>
      </c>
      <c r="G22" s="20">
        <f t="shared" si="5"/>
        <v>36.975999999999999</v>
      </c>
      <c r="H22" s="20">
        <f t="shared" ref="H22:N22" si="6">SUM(H16,H19:H21)</f>
        <v>36.57</v>
      </c>
      <c r="I22" s="20">
        <f t="shared" si="6"/>
        <v>35.087000000000003</v>
      </c>
      <c r="J22" s="20">
        <f t="shared" si="6"/>
        <v>33.1</v>
      </c>
      <c r="K22" s="20">
        <f t="shared" si="6"/>
        <v>29.773</v>
      </c>
      <c r="L22" s="20">
        <f t="shared" si="6"/>
        <v>35.341999999999999</v>
      </c>
      <c r="M22" s="20">
        <f t="shared" si="6"/>
        <v>31.667000000000002</v>
      </c>
      <c r="N22" s="20">
        <f t="shared" si="6"/>
        <v>31.848999999999997</v>
      </c>
    </row>
    <row r="23" spans="1:14" s="22" customFormat="1" x14ac:dyDescent="0.2">
      <c r="B23" s="20"/>
      <c r="C23" s="20"/>
      <c r="D23" s="20"/>
      <c r="E23" s="20"/>
      <c r="F23" s="20"/>
      <c r="G23" s="20"/>
      <c r="H23" s="20"/>
      <c r="I23" s="20"/>
      <c r="J23" s="20"/>
      <c r="K23" s="20"/>
      <c r="L23" s="20"/>
      <c r="M23" s="20"/>
      <c r="N23" s="20"/>
    </row>
    <row r="24" spans="1:14" s="22" customFormat="1" x14ac:dyDescent="0.2">
      <c r="A24" s="22" t="s">
        <v>27</v>
      </c>
      <c r="B24" s="20">
        <f t="shared" ref="B24:G24" si="7">SUM(B22:E22)</f>
        <v>211.39700000000002</v>
      </c>
      <c r="C24" s="20">
        <f t="shared" si="7"/>
        <v>222.07600000000002</v>
      </c>
      <c r="D24" s="20">
        <f t="shared" si="7"/>
        <v>203.58800000000002</v>
      </c>
      <c r="E24" s="20">
        <f t="shared" si="7"/>
        <v>183.31900000000002</v>
      </c>
      <c r="F24" s="20">
        <f t="shared" si="7"/>
        <v>148.10599999999999</v>
      </c>
      <c r="G24" s="20">
        <f t="shared" si="7"/>
        <v>141.733</v>
      </c>
      <c r="H24" s="20">
        <f t="shared" ref="H24:K24" si="8">SUM(H22:K22)</f>
        <v>134.53</v>
      </c>
      <c r="I24" s="20">
        <f t="shared" si="8"/>
        <v>133.30200000000002</v>
      </c>
      <c r="J24" s="20">
        <f t="shared" si="8"/>
        <v>129.88200000000001</v>
      </c>
      <c r="K24" s="20">
        <f t="shared" si="8"/>
        <v>128.631</v>
      </c>
      <c r="L24" s="20"/>
      <c r="M24" s="20"/>
      <c r="N24" s="20"/>
    </row>
    <row r="25" spans="1:14" s="23" customFormat="1" x14ac:dyDescent="0.2">
      <c r="A25" s="15" t="s">
        <v>26</v>
      </c>
      <c r="B25" s="27">
        <f>222.124-B24</f>
        <v>10.726999999999975</v>
      </c>
      <c r="C25" s="27">
        <f>222.124-C24</f>
        <v>4.7999999999973397E-2</v>
      </c>
      <c r="D25" s="27">
        <v>0</v>
      </c>
      <c r="E25" s="27">
        <v>0</v>
      </c>
      <c r="F25" s="27">
        <v>0</v>
      </c>
      <c r="G25" s="27">
        <v>0</v>
      </c>
      <c r="H25" s="27">
        <v>0</v>
      </c>
      <c r="I25" s="27">
        <v>0</v>
      </c>
      <c r="J25" s="27">
        <v>0</v>
      </c>
      <c r="K25" s="27">
        <v>0</v>
      </c>
      <c r="L25" s="27"/>
      <c r="M25" s="27"/>
      <c r="N25" s="27"/>
    </row>
    <row r="26" spans="1:14" s="23" customFormat="1" x14ac:dyDescent="0.2">
      <c r="A26" s="15" t="s">
        <v>25</v>
      </c>
      <c r="B26" s="21">
        <f>222.124-B25-B24</f>
        <v>0</v>
      </c>
      <c r="C26" s="21">
        <f>222.124-C25-C24</f>
        <v>0</v>
      </c>
      <c r="D26" s="21">
        <f>267.87-D25-D24</f>
        <v>64.281999999999982</v>
      </c>
      <c r="E26" s="21">
        <f>274.37-E25-E24</f>
        <v>91.050999999999988</v>
      </c>
      <c r="F26" s="21">
        <f>276.77-F25-F24</f>
        <v>128.66399999999999</v>
      </c>
      <c r="G26" s="21">
        <v>0</v>
      </c>
      <c r="H26" s="21">
        <v>0</v>
      </c>
      <c r="I26" s="21">
        <v>0</v>
      </c>
      <c r="J26" s="21">
        <v>0</v>
      </c>
      <c r="K26" s="21">
        <v>0</v>
      </c>
      <c r="L26" s="21"/>
      <c r="M26" s="21"/>
      <c r="N26" s="21"/>
    </row>
    <row r="27" spans="1:14" s="24" customFormat="1" x14ac:dyDescent="0.2">
      <c r="A27" s="22" t="s">
        <v>24</v>
      </c>
      <c r="B27" s="20">
        <f t="shared" ref="B27:G27" si="9">SUM(B24:B26)</f>
        <v>222.124</v>
      </c>
      <c r="C27" s="20">
        <f t="shared" si="9"/>
        <v>222.124</v>
      </c>
      <c r="D27" s="20">
        <f t="shared" si="9"/>
        <v>267.87</v>
      </c>
      <c r="E27" s="20">
        <f t="shared" si="9"/>
        <v>274.37</v>
      </c>
      <c r="F27" s="20">
        <f t="shared" si="9"/>
        <v>276.77</v>
      </c>
      <c r="G27" s="20">
        <f t="shared" si="9"/>
        <v>141.733</v>
      </c>
      <c r="H27" s="20">
        <f t="shared" ref="H27:K27" si="10">SUM(H24:H26)</f>
        <v>134.53</v>
      </c>
      <c r="I27" s="20">
        <f t="shared" si="10"/>
        <v>133.30200000000002</v>
      </c>
      <c r="J27" s="20">
        <f t="shared" si="10"/>
        <v>129.88200000000001</v>
      </c>
      <c r="K27" s="20">
        <f t="shared" si="10"/>
        <v>128.631</v>
      </c>
      <c r="L27" s="20"/>
      <c r="M27" s="20"/>
      <c r="N27" s="20"/>
    </row>
    <row r="28" spans="1:14" s="23" customFormat="1" x14ac:dyDescent="0.2"/>
    <row r="29" spans="1:14" s="22" customFormat="1" x14ac:dyDescent="0.2">
      <c r="A29" s="22" t="s">
        <v>23</v>
      </c>
      <c r="B29" s="20">
        <f t="shared" ref="B29:D29" si="11">B22</f>
        <v>28.794000000000011</v>
      </c>
      <c r="C29" s="20">
        <f t="shared" si="11"/>
        <v>55.463999999999999</v>
      </c>
      <c r="D29" s="20">
        <f t="shared" si="11"/>
        <v>56.838999999999999</v>
      </c>
      <c r="E29" s="20">
        <f t="shared" ref="E29:F29" si="12">E22</f>
        <v>70.300000000000011</v>
      </c>
      <c r="F29" s="20">
        <f t="shared" si="12"/>
        <v>39.472999999999999</v>
      </c>
      <c r="G29" s="20">
        <f t="shared" ref="G29:N29" si="13">G22</f>
        <v>36.975999999999999</v>
      </c>
      <c r="H29" s="20">
        <f t="shared" si="13"/>
        <v>36.57</v>
      </c>
      <c r="I29" s="20">
        <f t="shared" si="13"/>
        <v>35.087000000000003</v>
      </c>
      <c r="J29" s="20">
        <f t="shared" si="13"/>
        <v>33.1</v>
      </c>
      <c r="K29" s="20">
        <f t="shared" si="13"/>
        <v>29.773</v>
      </c>
      <c r="L29" s="20">
        <f t="shared" si="13"/>
        <v>35.341999999999999</v>
      </c>
      <c r="M29" s="20">
        <f t="shared" si="13"/>
        <v>31.667000000000002</v>
      </c>
      <c r="N29" s="20">
        <f t="shared" si="13"/>
        <v>31.848999999999997</v>
      </c>
    </row>
    <row r="30" spans="1:14" s="11" customFormat="1" x14ac:dyDescent="0.2">
      <c r="A30" s="19" t="s">
        <v>22</v>
      </c>
      <c r="B30" s="19">
        <v>-21.664000000000001</v>
      </c>
      <c r="C30" s="19">
        <v>-22.233000000000004</v>
      </c>
      <c r="D30" s="19">
        <v>-23.006</v>
      </c>
      <c r="E30" s="19">
        <v>-23.661000000000001</v>
      </c>
      <c r="F30" s="19">
        <v>-7.6660000000000004</v>
      </c>
      <c r="G30" s="19">
        <f>-4.099-H30-I30-J30</f>
        <v>-1.391999999999999</v>
      </c>
      <c r="H30" s="19">
        <f>-7.948+1.101+4.14-I30-J30</f>
        <v>4.2289999999999992</v>
      </c>
      <c r="I30" s="19">
        <v>-3.4820000000000002</v>
      </c>
      <c r="J30" s="19">
        <v>-3.4540000000000002</v>
      </c>
      <c r="K30" s="19">
        <f>-4.727-L30-M30-N30</f>
        <v>-0.81899999999999995</v>
      </c>
      <c r="L30" s="19">
        <f>-12.167+2.318+5.941-M30-N30</f>
        <v>-1.1010000000000004</v>
      </c>
      <c r="M30" s="19">
        <f>-7.964+1.246+3.911-N30</f>
        <v>-1.42</v>
      </c>
      <c r="N30" s="19">
        <f>-3.834+0.516+1.931</f>
        <v>-1.387</v>
      </c>
    </row>
    <row r="31" spans="1:14" s="11" customFormat="1" x14ac:dyDescent="0.2">
      <c r="A31" s="19" t="s">
        <v>21</v>
      </c>
      <c r="B31" s="19">
        <v>15.146000000000001</v>
      </c>
      <c r="C31" s="19">
        <v>57.744</v>
      </c>
      <c r="D31" s="19">
        <v>-4.673</v>
      </c>
      <c r="E31" s="19">
        <v>-8.1150000000000002</v>
      </c>
      <c r="F31" s="19">
        <v>-5.3680000000000003</v>
      </c>
      <c r="G31" s="19">
        <f>-3.339-H31-I31-J31</f>
        <v>-3.2949999999999982</v>
      </c>
      <c r="H31" s="19">
        <f>-23.856+23.812-I31-J31</f>
        <v>14.782</v>
      </c>
      <c r="I31" s="19">
        <v>-7.6689999999999996</v>
      </c>
      <c r="J31" s="19">
        <v>-7.157</v>
      </c>
      <c r="K31" s="19">
        <f>0-L31-M31-N31</f>
        <v>1.7889999999999979</v>
      </c>
      <c r="L31" s="19">
        <f>-29.334+27.545-M31-N31</f>
        <v>-1.612999999999996</v>
      </c>
      <c r="M31" s="19">
        <f>-18.931+18.755-N31</f>
        <v>0.22299999999999898</v>
      </c>
      <c r="N31" s="19">
        <f>-9.371+8.972</f>
        <v>-0.39900000000000091</v>
      </c>
    </row>
    <row r="32" spans="1:14" s="11" customFormat="1" x14ac:dyDescent="0.2">
      <c r="A32" s="19" t="s">
        <v>20</v>
      </c>
      <c r="B32" s="19">
        <f>16.665+4.057+4.746+12.612-4.852+5.501+3.247+1.79</f>
        <v>43.766000000000005</v>
      </c>
      <c r="C32" s="19">
        <v>-88.942000000000007</v>
      </c>
      <c r="D32" s="19">
        <v>12.089000000000002</v>
      </c>
      <c r="E32" s="19">
        <f>-3.754+8.719+1.057-5.872+0.57-8.266-2.725+1.345-F32</f>
        <v>1.6759999999999984</v>
      </c>
      <c r="F32" s="19">
        <v>-10.601999999999997</v>
      </c>
      <c r="G32" s="19">
        <f>-12.311+1.61-0.095-10.314-11.802+2.611-H32-I32-J32</f>
        <v>1.5700000000000038</v>
      </c>
      <c r="H32" s="19">
        <f>-12.181+1.544-1.285-10.626-11.235+1.912-I32-J32</f>
        <v>-18.858000000000001</v>
      </c>
      <c r="I32" s="19">
        <v>8.144999999999996</v>
      </c>
      <c r="J32" s="19">
        <v>-21.157999999999998</v>
      </c>
      <c r="K32" s="19">
        <f>-3.939+0.82-0.407-6.061-6.436-2.565-L32-M32-N32</f>
        <v>4.546999999999997</v>
      </c>
      <c r="L32" s="19">
        <f>-2.986+2.035-1.247-10.925-7.487-2.525-M32-N32</f>
        <v>-2.0169999999999959</v>
      </c>
      <c r="M32" s="19">
        <f>-4.398+0.869-1.48-11.953-2.268-1.888-N32</f>
        <v>5.0869999999999962</v>
      </c>
      <c r="N32" s="19">
        <f>-16.459-0.441+1.337-12.099+2.642-1.185</f>
        <v>-26.204999999999998</v>
      </c>
    </row>
    <row r="33" spans="1:14" s="11" customFormat="1" x14ac:dyDescent="0.2">
      <c r="A33" s="19" t="s">
        <v>19</v>
      </c>
      <c r="B33" s="19">
        <f t="shared" ref="B33" si="14">-B19-B20-B21</f>
        <v>-6.1189999999999998</v>
      </c>
      <c r="C33" s="19">
        <f t="shared" ref="C33:N33" si="15">-C19-C20-C21</f>
        <v>-8.56</v>
      </c>
      <c r="D33" s="19">
        <f t="shared" si="15"/>
        <v>0.4719999999999942</v>
      </c>
      <c r="E33" s="19">
        <f t="shared" si="15"/>
        <v>-4.43</v>
      </c>
      <c r="F33" s="19">
        <f t="shared" si="15"/>
        <v>-18.643000000000001</v>
      </c>
      <c r="G33" s="19">
        <f t="shared" si="15"/>
        <v>-3.6689999999999969</v>
      </c>
      <c r="H33" s="19">
        <f t="shared" si="15"/>
        <v>3.3000000000001251E-2</v>
      </c>
      <c r="I33" s="19">
        <f t="shared" si="15"/>
        <v>-0.11799999999999999</v>
      </c>
      <c r="J33" s="19">
        <f t="shared" si="15"/>
        <v>1.3800000000000026</v>
      </c>
      <c r="K33" s="19">
        <f t="shared" si="15"/>
        <v>-2.5539999999999998</v>
      </c>
      <c r="L33" s="19">
        <f t="shared" si="15"/>
        <v>0</v>
      </c>
      <c r="M33" s="19">
        <f t="shared" si="15"/>
        <v>5.1999999999999998E-2</v>
      </c>
      <c r="N33" s="19">
        <f t="shared" si="15"/>
        <v>-2.3759999999999999</v>
      </c>
    </row>
    <row r="34" spans="1:14" s="11" customFormat="1" x14ac:dyDescent="0.2">
      <c r="A34" s="19" t="s">
        <v>18</v>
      </c>
      <c r="B34" s="21">
        <f t="shared" ref="B34" si="16">B35-B29-B30-B31-B32-B33</f>
        <v>-12.900000000000013</v>
      </c>
      <c r="C34" s="21">
        <f t="shared" ref="C34:N34" si="17">C35-C29-C30-C31-C32-C33</f>
        <v>4.009000000000027</v>
      </c>
      <c r="D34" s="21">
        <f t="shared" si="17"/>
        <v>-6.4969999999999981</v>
      </c>
      <c r="E34" s="21">
        <f t="shared" si="17"/>
        <v>8.62699999999999</v>
      </c>
      <c r="F34" s="21">
        <f t="shared" si="17"/>
        <v>8.0079999999999956</v>
      </c>
      <c r="G34" s="21">
        <f t="shared" si="17"/>
        <v>4.0209999999999901</v>
      </c>
      <c r="H34" s="21">
        <f t="shared" si="17"/>
        <v>-3.5279999999999916</v>
      </c>
      <c r="I34" s="21">
        <f t="shared" si="17"/>
        <v>-3.0300000000000034</v>
      </c>
      <c r="J34" s="21">
        <f t="shared" si="17"/>
        <v>9.6559999999999953</v>
      </c>
      <c r="K34" s="21">
        <f t="shared" si="17"/>
        <v>-1.0879999999999987</v>
      </c>
      <c r="L34" s="21">
        <f t="shared" si="17"/>
        <v>2.9569999999999914</v>
      </c>
      <c r="M34" s="21">
        <f t="shared" si="17"/>
        <v>1.4270000000000045</v>
      </c>
      <c r="N34" s="21">
        <f t="shared" si="17"/>
        <v>1.5420000000000038</v>
      </c>
    </row>
    <row r="35" spans="1:14" s="20" customFormat="1" x14ac:dyDescent="0.2">
      <c r="A35" s="20" t="s">
        <v>17</v>
      </c>
      <c r="B35" s="20">
        <v>47.023000000000003</v>
      </c>
      <c r="C35" s="20">
        <f>82.305-D35-E35-F35</f>
        <v>-2.5179999999999882</v>
      </c>
      <c r="D35" s="20">
        <v>35.223999999999997</v>
      </c>
      <c r="E35" s="20">
        <f>49.599-F35</f>
        <v>44.396999999999998</v>
      </c>
      <c r="F35" s="20">
        <v>5.202</v>
      </c>
      <c r="G35" s="20">
        <f>108.739-H35-I35-J35</f>
        <v>34.210999999999999</v>
      </c>
      <c r="H35" s="20">
        <f>74.528-I35-J35</f>
        <v>33.228000000000009</v>
      </c>
      <c r="I35" s="20">
        <f>41.3-J35</f>
        <v>28.932999999999996</v>
      </c>
      <c r="J35" s="20">
        <v>12.367000000000001</v>
      </c>
      <c r="K35" s="20">
        <f>105.276-L35-M35-N35</f>
        <v>31.647999999999996</v>
      </c>
      <c r="L35" s="20">
        <f>73.628-M35-N35</f>
        <v>33.567999999999998</v>
      </c>
      <c r="M35" s="20">
        <f>40.06-N35</f>
        <v>37.036000000000001</v>
      </c>
      <c r="N35" s="20">
        <v>3.024</v>
      </c>
    </row>
    <row r="36" spans="1:14" s="11" customFormat="1" x14ac:dyDescent="0.2">
      <c r="A36" s="19" t="s">
        <v>16</v>
      </c>
      <c r="B36" s="21">
        <v>-4.875</v>
      </c>
      <c r="C36" s="21">
        <f>-24.713-D36-E36-F36</f>
        <v>-9.3590000000000018</v>
      </c>
      <c r="D36" s="21">
        <v>-6.4359999999999999</v>
      </c>
      <c r="E36" s="21">
        <f>-8.918-F36</f>
        <v>-5.0199999999999996</v>
      </c>
      <c r="F36" s="21">
        <v>-3.8980000000000001</v>
      </c>
      <c r="G36" s="21">
        <f>-9.053-H36-I36-J36</f>
        <v>-2.5970000000000004</v>
      </c>
      <c r="H36" s="21">
        <f>-6.456-I36-J36</f>
        <v>-2.7830000000000004</v>
      </c>
      <c r="I36" s="21">
        <f>-3.673-J36</f>
        <v>-1.7270000000000001</v>
      </c>
      <c r="J36" s="21">
        <v>-1.946</v>
      </c>
      <c r="K36" s="21">
        <f>-5.91-L36-M36-N36</f>
        <v>-1.9359999999999995</v>
      </c>
      <c r="L36" s="21">
        <f>-3.974-M36-N36</f>
        <v>-1.73</v>
      </c>
      <c r="M36" s="21">
        <f>-2.244-N36</f>
        <v>-1.0100000000000002</v>
      </c>
      <c r="N36" s="21">
        <v>-1.234</v>
      </c>
    </row>
    <row r="37" spans="1:14" s="20" customFormat="1" x14ac:dyDescent="0.2">
      <c r="A37" s="20" t="s">
        <v>15</v>
      </c>
      <c r="B37" s="20">
        <f t="shared" ref="B37:G37" si="18">+B35+B36</f>
        <v>42.148000000000003</v>
      </c>
      <c r="C37" s="20">
        <f t="shared" si="18"/>
        <v>-11.87699999999999</v>
      </c>
      <c r="D37" s="20">
        <f t="shared" si="18"/>
        <v>28.787999999999997</v>
      </c>
      <c r="E37" s="20">
        <f t="shared" si="18"/>
        <v>39.376999999999995</v>
      </c>
      <c r="F37" s="20">
        <f t="shared" si="18"/>
        <v>1.3039999999999998</v>
      </c>
      <c r="G37" s="20">
        <f t="shared" si="18"/>
        <v>31.613999999999997</v>
      </c>
      <c r="H37" s="20">
        <f t="shared" ref="H37:N37" si="19">+H35+H36</f>
        <v>30.445000000000007</v>
      </c>
      <c r="I37" s="20">
        <f t="shared" si="19"/>
        <v>27.205999999999996</v>
      </c>
      <c r="J37" s="20">
        <f t="shared" si="19"/>
        <v>10.421000000000001</v>
      </c>
      <c r="K37" s="20">
        <f t="shared" si="19"/>
        <v>29.711999999999996</v>
      </c>
      <c r="L37" s="20">
        <f t="shared" si="19"/>
        <v>31.837999999999997</v>
      </c>
      <c r="M37" s="20">
        <f t="shared" si="19"/>
        <v>36.026000000000003</v>
      </c>
      <c r="N37" s="20">
        <f t="shared" si="19"/>
        <v>1.79</v>
      </c>
    </row>
    <row r="39" spans="1:14" s="16" customFormat="1" x14ac:dyDescent="0.2">
      <c r="A39" s="18" t="s">
        <v>14</v>
      </c>
      <c r="B39" s="19">
        <v>77.174999999999997</v>
      </c>
      <c r="C39" s="19">
        <v>19.850000000000001</v>
      </c>
      <c r="D39" s="19">
        <v>8.9749999999999996</v>
      </c>
      <c r="E39" s="19">
        <v>9.2750000000000004</v>
      </c>
      <c r="F39" s="19">
        <v>0</v>
      </c>
      <c r="G39" s="19">
        <v>0</v>
      </c>
      <c r="H39" s="19"/>
      <c r="I39" s="19"/>
      <c r="J39" s="19"/>
      <c r="K39" s="19"/>
      <c r="L39" s="19"/>
      <c r="M39" s="19"/>
      <c r="N39" s="19"/>
    </row>
    <row r="40" spans="1:14" s="16" customFormat="1" x14ac:dyDescent="0.2">
      <c r="A40" s="18" t="s">
        <v>13</v>
      </c>
      <c r="B40" s="19">
        <f>775+280</f>
        <v>1055</v>
      </c>
      <c r="C40" s="19">
        <f>1094.85-C39</f>
        <v>1075</v>
      </c>
      <c r="D40" s="19">
        <f>1083.975-D39</f>
        <v>1075</v>
      </c>
      <c r="E40" s="19">
        <f>306.25+793.75</f>
        <v>1100</v>
      </c>
      <c r="F40" s="19">
        <f>341+824</f>
        <v>1165</v>
      </c>
      <c r="G40" s="19">
        <f>400+780</f>
        <v>1180</v>
      </c>
      <c r="H40" s="19"/>
      <c r="I40" s="19"/>
      <c r="J40" s="19"/>
      <c r="K40" s="19"/>
      <c r="L40" s="19"/>
      <c r="M40" s="19"/>
      <c r="N40" s="19"/>
    </row>
    <row r="41" spans="1:14" s="16" customFormat="1" x14ac:dyDescent="0.2">
      <c r="A41" s="18" t="s">
        <v>12</v>
      </c>
      <c r="B41" s="19">
        <f t="shared" ref="B41:G41" si="20">B39+B40</f>
        <v>1132.175</v>
      </c>
      <c r="C41" s="19">
        <f t="shared" si="20"/>
        <v>1094.8499999999999</v>
      </c>
      <c r="D41" s="19">
        <f t="shared" si="20"/>
        <v>1083.9749999999999</v>
      </c>
      <c r="E41" s="19">
        <f t="shared" si="20"/>
        <v>1109.2750000000001</v>
      </c>
      <c r="F41" s="19">
        <f t="shared" si="20"/>
        <v>1165</v>
      </c>
      <c r="G41" s="19">
        <f t="shared" si="20"/>
        <v>1180</v>
      </c>
      <c r="H41" s="19"/>
      <c r="I41" s="19"/>
      <c r="J41" s="19"/>
      <c r="K41" s="19"/>
      <c r="L41" s="19"/>
      <c r="M41" s="19"/>
      <c r="N41" s="19"/>
    </row>
    <row r="42" spans="1:14" s="16" customFormat="1" x14ac:dyDescent="0.2">
      <c r="A42" s="18" t="s">
        <v>11</v>
      </c>
      <c r="B42" s="17">
        <f>48486058/1000000*9.82</f>
        <v>476.13308956000003</v>
      </c>
      <c r="C42" s="17">
        <f>48433780/1000000*13.15</f>
        <v>636.90420700000004</v>
      </c>
      <c r="D42" s="17">
        <f>47994056/1000000*19.74</f>
        <v>947.40266543999996</v>
      </c>
      <c r="E42" s="17">
        <f>47833104/1000000*17.45</f>
        <v>834.68766479999999</v>
      </c>
      <c r="F42" s="17">
        <f>47702306/1000000*20.14</f>
        <v>960.72444284000005</v>
      </c>
      <c r="G42" s="17">
        <v>1022</v>
      </c>
      <c r="H42" s="17"/>
      <c r="I42" s="17"/>
      <c r="J42" s="17"/>
      <c r="K42" s="17"/>
      <c r="L42" s="17"/>
      <c r="M42" s="17"/>
      <c r="N42" s="17"/>
    </row>
    <row r="43" spans="1:14" x14ac:dyDescent="0.2">
      <c r="B43" s="16"/>
      <c r="C43" s="16"/>
      <c r="D43" s="16"/>
      <c r="E43" s="16"/>
      <c r="F43" s="16"/>
      <c r="G43" s="16"/>
      <c r="H43" s="16"/>
      <c r="I43" s="16"/>
      <c r="J43" s="16"/>
      <c r="K43" s="16"/>
      <c r="L43" s="16"/>
      <c r="M43" s="16"/>
      <c r="N43" s="16"/>
    </row>
    <row r="44" spans="1:14" x14ac:dyDescent="0.2">
      <c r="A44" s="15" t="s">
        <v>10</v>
      </c>
      <c r="B44" s="27">
        <v>83.034000000000006</v>
      </c>
      <c r="C44" s="27">
        <v>2.4860000000000002</v>
      </c>
      <c r="D44" s="27">
        <v>6.8570000000000002</v>
      </c>
      <c r="E44" s="27">
        <v>4.4039999999999999</v>
      </c>
      <c r="F44" s="27">
        <v>18.788</v>
      </c>
      <c r="G44" s="27">
        <v>11</v>
      </c>
      <c r="H44" s="27"/>
      <c r="I44" s="27"/>
      <c r="J44" s="27"/>
      <c r="K44" s="27"/>
      <c r="L44" s="27"/>
      <c r="M44" s="27"/>
      <c r="N44" s="27"/>
    </row>
    <row r="46" spans="1:14" x14ac:dyDescent="0.2">
      <c r="A46" s="1" t="s">
        <v>9</v>
      </c>
      <c r="B46" s="13">
        <f>SUM(B12:E12)</f>
        <v>1254.7179999999998</v>
      </c>
      <c r="C46" s="13">
        <f>SUM(C12:F12)</f>
        <v>1131.1569999999999</v>
      </c>
      <c r="D46" s="12">
        <f>(1127+1142)/2</f>
        <v>1134.5</v>
      </c>
      <c r="E46" s="12">
        <f>(1127+1142)/2</f>
        <v>1134.5</v>
      </c>
      <c r="F46" s="12">
        <f>(1146+1177)/2</f>
        <v>1161.5</v>
      </c>
      <c r="G46" s="12">
        <v>1236.338</v>
      </c>
      <c r="H46" s="11"/>
      <c r="I46" s="11"/>
      <c r="J46" s="11"/>
      <c r="K46" s="11"/>
    </row>
    <row r="47" spans="1:14" x14ac:dyDescent="0.2">
      <c r="A47" s="1" t="s">
        <v>8</v>
      </c>
      <c r="B47" s="13">
        <f>B27</f>
        <v>222.124</v>
      </c>
      <c r="C47" s="13">
        <f>C27</f>
        <v>222.124</v>
      </c>
      <c r="D47" s="13">
        <f>D27</f>
        <v>267.87</v>
      </c>
      <c r="E47" s="13">
        <f>E27</f>
        <v>274.37</v>
      </c>
      <c r="F47" s="13">
        <f>F27</f>
        <v>276.77</v>
      </c>
      <c r="G47" s="12">
        <v>254.52945313278531</v>
      </c>
      <c r="H47" s="11"/>
      <c r="I47" s="11"/>
      <c r="J47" s="11"/>
      <c r="K47" s="11"/>
    </row>
    <row r="48" spans="1:14" x14ac:dyDescent="0.2">
      <c r="A48" s="1" t="s">
        <v>7</v>
      </c>
      <c r="B48" s="13">
        <f>SUM(B37:E37)</f>
        <v>98.436000000000007</v>
      </c>
      <c r="C48" s="13">
        <f>SUM(C37:F37)</f>
        <v>57.592000000000006</v>
      </c>
      <c r="D48" s="13">
        <f>SUM(D37:G37)</f>
        <v>101.083</v>
      </c>
      <c r="E48" s="13">
        <f>SUM(E37:H37)</f>
        <v>102.74</v>
      </c>
      <c r="F48" s="13">
        <f>SUM(F37:I37)</f>
        <v>90.569000000000003</v>
      </c>
      <c r="G48" s="12">
        <v>60.108453132785314</v>
      </c>
      <c r="H48" s="11"/>
      <c r="I48" s="11"/>
      <c r="J48" s="11"/>
      <c r="K48" s="11"/>
    </row>
    <row r="49" spans="1:14" x14ac:dyDescent="0.2">
      <c r="F49" s="11"/>
    </row>
    <row r="50" spans="1:14" s="10" customFormat="1" x14ac:dyDescent="0.2">
      <c r="A50" s="10" t="s">
        <v>6</v>
      </c>
      <c r="B50" s="10">
        <f t="shared" ref="B50:G50" si="21">+SUM(B39:B40)/B47</f>
        <v>5.0970403918531995</v>
      </c>
      <c r="C50" s="10">
        <f t="shared" si="21"/>
        <v>4.9290036195998628</v>
      </c>
      <c r="D50" s="10">
        <f t="shared" si="21"/>
        <v>4.0466457610034716</v>
      </c>
      <c r="E50" s="10">
        <f t="shared" si="21"/>
        <v>4.042989393884171</v>
      </c>
      <c r="F50" s="10">
        <f t="shared" si="21"/>
        <v>4.2092712360443691</v>
      </c>
      <c r="G50" s="10">
        <f t="shared" si="21"/>
        <v>4.6360057175167331</v>
      </c>
    </row>
    <row r="51" spans="1:14" s="10" customFormat="1" x14ac:dyDescent="0.2">
      <c r="A51" s="10" t="s">
        <v>5</v>
      </c>
      <c r="B51" s="10">
        <f t="shared" ref="B51:G51" si="22">+B41/B47</f>
        <v>5.0970403918531995</v>
      </c>
      <c r="C51" s="10">
        <f t="shared" si="22"/>
        <v>4.9290036195998628</v>
      </c>
      <c r="D51" s="10">
        <f t="shared" si="22"/>
        <v>4.0466457610034716</v>
      </c>
      <c r="E51" s="10">
        <f t="shared" si="22"/>
        <v>4.042989393884171</v>
      </c>
      <c r="F51" s="10">
        <f t="shared" si="22"/>
        <v>4.2092712360443691</v>
      </c>
      <c r="G51" s="10">
        <f t="shared" si="22"/>
        <v>4.6360057175167331</v>
      </c>
    </row>
    <row r="52" spans="1:14" s="10" customFormat="1" x14ac:dyDescent="0.2">
      <c r="A52" s="10" t="s">
        <v>4</v>
      </c>
      <c r="B52" s="10">
        <f t="shared" ref="B52:G52" si="23">+(B41-B44)/B47</f>
        <v>4.7232221641965744</v>
      </c>
      <c r="C52" s="10">
        <f t="shared" si="23"/>
        <v>4.9178116727593588</v>
      </c>
      <c r="D52" s="10">
        <f t="shared" si="23"/>
        <v>4.0210475230522267</v>
      </c>
      <c r="E52" s="10">
        <f t="shared" si="23"/>
        <v>4.026938076320298</v>
      </c>
      <c r="F52" s="10">
        <f t="shared" si="23"/>
        <v>4.1413881562308053</v>
      </c>
      <c r="G52" s="10">
        <f t="shared" si="23"/>
        <v>4.5927887150653062</v>
      </c>
    </row>
    <row r="53" spans="1:14" s="6" customFormat="1" x14ac:dyDescent="0.2">
      <c r="A53" s="6" t="s">
        <v>3</v>
      </c>
      <c r="B53" s="6">
        <f t="shared" ref="B53:G53" si="24">+B48/B41</f>
        <v>8.6944156159604311E-2</v>
      </c>
      <c r="C53" s="6">
        <f t="shared" si="24"/>
        <v>5.260263963099969E-2</v>
      </c>
      <c r="D53" s="6">
        <f t="shared" si="24"/>
        <v>9.3252150649230842E-2</v>
      </c>
      <c r="E53" s="6">
        <f t="shared" si="24"/>
        <v>9.2619052985057793E-2</v>
      </c>
      <c r="F53" s="6">
        <f t="shared" si="24"/>
        <v>7.7741630901287551E-2</v>
      </c>
      <c r="G53" s="6">
        <f t="shared" si="24"/>
        <v>5.0939367061682471E-2</v>
      </c>
    </row>
    <row r="54" spans="1:14" s="6" customFormat="1" x14ac:dyDescent="0.2">
      <c r="A54" s="8" t="s">
        <v>2</v>
      </c>
      <c r="B54" s="9"/>
      <c r="C54" s="9"/>
      <c r="D54" s="9"/>
      <c r="E54" s="9"/>
      <c r="F54" s="9"/>
      <c r="G54" s="9"/>
      <c r="H54" s="9"/>
      <c r="I54" s="9"/>
      <c r="J54" s="9"/>
      <c r="K54" s="9"/>
      <c r="L54" s="8"/>
      <c r="M54" s="8"/>
      <c r="N54" s="8"/>
    </row>
    <row r="55" spans="1:14" s="6" customFormat="1" x14ac:dyDescent="0.2">
      <c r="A55" s="6" t="s">
        <v>1</v>
      </c>
      <c r="B55" s="7">
        <f t="shared" ref="B55:G55" si="25">IF(B42=0,IF(B54="","","*"&amp;TEXT(B54,"0.0x")),(B41+B42-B44)/B47)</f>
        <v>6.8667685147034989</v>
      </c>
      <c r="C55" s="7">
        <f t="shared" si="25"/>
        <v>7.7851479669013699</v>
      </c>
      <c r="D55" s="7">
        <f t="shared" si="25"/>
        <v>7.5578477076193673</v>
      </c>
      <c r="E55" s="7">
        <f t="shared" si="25"/>
        <v>7.0691353457010608</v>
      </c>
      <c r="F55" s="7">
        <f t="shared" si="25"/>
        <v>7.6125896695451098</v>
      </c>
      <c r="G55" s="7">
        <f t="shared" si="25"/>
        <v>8.608041124643357</v>
      </c>
      <c r="H55" s="7"/>
      <c r="I55" s="7"/>
      <c r="J55" s="7"/>
      <c r="K55" s="7"/>
      <c r="L55" s="7"/>
      <c r="M55" s="7" t="str">
        <f t="shared" ref="M55:N55" si="26">IF(M42=0,IF(M54="","",CONCATENATE("* ",M54,"x")),(M41+M42-M44)/M47)</f>
        <v/>
      </c>
      <c r="N55" s="7" t="str">
        <f t="shared" si="26"/>
        <v/>
      </c>
    </row>
    <row r="56" spans="1:14" x14ac:dyDescent="0.2">
      <c r="K56" s="3"/>
    </row>
    <row r="57" spans="1:14" ht="80.25" customHeight="1" x14ac:dyDescent="0.2">
      <c r="A57" s="5" t="s">
        <v>0</v>
      </c>
      <c r="B57" s="4" t="s">
        <v>505</v>
      </c>
      <c r="C57" s="4" t="s">
        <v>488</v>
      </c>
      <c r="D57" s="4" t="s">
        <v>400</v>
      </c>
      <c r="E57" s="4" t="s">
        <v>400</v>
      </c>
      <c r="F57" s="4" t="s">
        <v>104</v>
      </c>
      <c r="G57" s="4" t="s">
        <v>334</v>
      </c>
      <c r="H57" s="4"/>
      <c r="I57" s="4"/>
      <c r="J57" s="4"/>
      <c r="K57" s="4"/>
      <c r="L57" s="4"/>
      <c r="M57" s="4"/>
      <c r="N57" s="4"/>
    </row>
    <row r="58" spans="1:14" x14ac:dyDescent="0.2">
      <c r="A58" s="2"/>
      <c r="B58" s="3"/>
      <c r="C58" s="3"/>
      <c r="D58" s="3"/>
      <c r="E58" s="3"/>
      <c r="F58" s="3"/>
      <c r="G58" s="3"/>
    </row>
    <row r="59" spans="1:14" x14ac:dyDescent="0.2">
      <c r="A59" s="2"/>
    </row>
  </sheetData>
  <pageMargins left="0.7" right="0.7" top="0.75" bottom="0.75" header="0.3" footer="0.3"/>
  <pageSetup orientation="portrait" r:id="rId1"/>
  <ignoredErrors>
    <ignoredError sqref="G13:N15 G54 G17:N17" evalError="1"/>
    <ignoredError sqref="G49" formulaRange="1"/>
    <ignoredError sqref="G50:G53" evalError="1" formulaRange="1"/>
  </ignoredErrors>
  <legacyDrawing r:id="rId2"/>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sheetView>
  </sheetViews>
  <sheetFormatPr defaultRowHeight="12.75" x14ac:dyDescent="0.2"/>
  <cols>
    <col min="1" max="1" width="22.7109375" style="1" customWidth="1"/>
    <col min="2" max="11" width="10.7109375" style="1" customWidth="1"/>
    <col min="12" max="16384" width="9.140625" style="1"/>
  </cols>
  <sheetData>
    <row r="2" spans="1:19" x14ac:dyDescent="0.2">
      <c r="A2" s="34" t="s">
        <v>45</v>
      </c>
      <c r="B2" s="1" t="s">
        <v>346</v>
      </c>
    </row>
    <row r="3" spans="1:19" s="35" customFormat="1" x14ac:dyDescent="0.2">
      <c r="A3" s="36" t="s">
        <v>43</v>
      </c>
      <c r="B3" s="35" t="s">
        <v>347</v>
      </c>
    </row>
    <row r="4" spans="1:19" x14ac:dyDescent="0.2">
      <c r="A4" s="34" t="s">
        <v>41</v>
      </c>
      <c r="B4" s="1" t="s">
        <v>40</v>
      </c>
    </row>
    <row r="5" spans="1:19" x14ac:dyDescent="0.2">
      <c r="A5" s="34" t="s">
        <v>39</v>
      </c>
    </row>
    <row r="6" spans="1:19" x14ac:dyDescent="0.2">
      <c r="A6" s="34" t="s">
        <v>38</v>
      </c>
      <c r="B6" s="1">
        <v>3</v>
      </c>
    </row>
    <row r="7" spans="1:19" x14ac:dyDescent="0.2">
      <c r="A7" s="34" t="s">
        <v>37</v>
      </c>
      <c r="B7" s="1" t="s">
        <v>122</v>
      </c>
    </row>
    <row r="8" spans="1:19" x14ac:dyDescent="0.2">
      <c r="A8" s="34" t="s">
        <v>281</v>
      </c>
      <c r="B8" s="1" t="s">
        <v>348</v>
      </c>
    </row>
    <row r="9" spans="1:19" x14ac:dyDescent="0.2">
      <c r="A9" s="22"/>
    </row>
    <row r="10" spans="1:19" x14ac:dyDescent="0.2">
      <c r="A10" s="22" t="s">
        <v>36</v>
      </c>
      <c r="B10" s="33">
        <v>43646</v>
      </c>
      <c r="C10" s="33">
        <v>43555</v>
      </c>
      <c r="D10" s="33">
        <v>43465</v>
      </c>
      <c r="E10" s="33">
        <f>EOMONTH(D10,-3)</f>
        <v>43373</v>
      </c>
      <c r="F10" s="33">
        <f t="shared" ref="F10:K10" si="0">EOMONTH(E10,-3)</f>
        <v>43281</v>
      </c>
      <c r="G10" s="33">
        <f t="shared" si="0"/>
        <v>43190</v>
      </c>
      <c r="H10" s="33">
        <f t="shared" si="0"/>
        <v>43100</v>
      </c>
      <c r="I10" s="33">
        <f t="shared" si="0"/>
        <v>43008</v>
      </c>
      <c r="J10" s="33">
        <f t="shared" si="0"/>
        <v>42916</v>
      </c>
      <c r="K10" s="33">
        <f t="shared" si="0"/>
        <v>42825</v>
      </c>
    </row>
    <row r="12" spans="1:19" x14ac:dyDescent="0.2">
      <c r="A12" s="15" t="s">
        <v>35</v>
      </c>
      <c r="B12" s="19">
        <v>37.256</v>
      </c>
      <c r="C12" s="19">
        <v>38.125999999999998</v>
      </c>
      <c r="D12" s="19">
        <v>41.636058801122196</v>
      </c>
      <c r="E12" s="19">
        <v>41.326071450729664</v>
      </c>
      <c r="F12" s="19">
        <v>32.527856568944827</v>
      </c>
      <c r="G12" s="19">
        <v>37.33281112339877</v>
      </c>
      <c r="H12" s="19">
        <v>35.321872563848736</v>
      </c>
      <c r="I12" s="19">
        <v>40.751434976540267</v>
      </c>
      <c r="J12" s="19">
        <v>29.536134093747314</v>
      </c>
      <c r="K12" s="19">
        <v>28.890374106183678</v>
      </c>
    </row>
    <row r="13" spans="1:19" s="28" customFormat="1" x14ac:dyDescent="0.2">
      <c r="A13" s="28" t="s">
        <v>34</v>
      </c>
      <c r="B13" s="28">
        <f>+B12/F12-1</f>
        <v>0.14535674740921145</v>
      </c>
      <c r="C13" s="28">
        <f>+C12/G12-1</f>
        <v>2.1246427813309987E-2</v>
      </c>
      <c r="D13" s="28">
        <f>+D12/H12-1</f>
        <v>0.17876136736125114</v>
      </c>
      <c r="E13" s="28">
        <f t="shared" ref="E13:G13" si="1">+E12/I12-1</f>
        <v>1.4101012013937764E-2</v>
      </c>
      <c r="F13" s="28">
        <f t="shared" si="1"/>
        <v>0.10129025232963196</v>
      </c>
      <c r="G13" s="28">
        <f t="shared" si="1"/>
        <v>0.29222318084860244</v>
      </c>
    </row>
    <row r="14" spans="1:19" s="23" customFormat="1" x14ac:dyDescent="0.2">
      <c r="A14" s="31" t="s">
        <v>33</v>
      </c>
      <c r="B14" s="32"/>
      <c r="C14" s="32" t="s">
        <v>32</v>
      </c>
      <c r="D14" s="32" t="s">
        <v>32</v>
      </c>
      <c r="E14" s="32" t="s">
        <v>32</v>
      </c>
      <c r="F14" s="32" t="s">
        <v>32</v>
      </c>
      <c r="G14" s="32" t="s">
        <v>32</v>
      </c>
      <c r="H14" s="31"/>
      <c r="I14" s="31"/>
      <c r="J14" s="31"/>
      <c r="K14" s="31"/>
    </row>
    <row r="16" spans="1:19" s="22" customFormat="1" x14ac:dyDescent="0.2">
      <c r="A16" s="30" t="s">
        <v>31</v>
      </c>
      <c r="B16" s="29">
        <v>16.064</v>
      </c>
      <c r="C16" s="29">
        <v>16.484000000000002</v>
      </c>
      <c r="D16" s="29">
        <v>16.97469201785875</v>
      </c>
      <c r="E16" s="29">
        <v>14.287590264237874</v>
      </c>
      <c r="F16" s="29">
        <v>12.778044755757776</v>
      </c>
      <c r="G16" s="29">
        <v>16.24804448270773</v>
      </c>
      <c r="H16" s="29">
        <v>15.220014530969873</v>
      </c>
      <c r="I16" s="29">
        <v>13.93630925196056</v>
      </c>
      <c r="J16" s="29">
        <v>11.740361623908973</v>
      </c>
      <c r="K16" s="29">
        <v>11.855321211125656</v>
      </c>
      <c r="L16" s="1"/>
      <c r="M16" s="1"/>
      <c r="N16" s="1"/>
      <c r="O16" s="1"/>
      <c r="P16" s="1"/>
      <c r="Q16" s="1"/>
      <c r="R16" s="1"/>
      <c r="S16" s="1"/>
    </row>
    <row r="17" spans="1:12" s="28" customFormat="1" x14ac:dyDescent="0.2">
      <c r="A17" s="28" t="s">
        <v>30</v>
      </c>
      <c r="B17" s="28">
        <f>+B16/B12</f>
        <v>0.43117887051750053</v>
      </c>
      <c r="C17" s="28">
        <f>+C16/C12</f>
        <v>0.43235587263284903</v>
      </c>
      <c r="D17" s="28">
        <f>+D16/D12</f>
        <v>0.40769209446407162</v>
      </c>
      <c r="E17" s="28">
        <f t="shared" ref="E17:K17" si="2">+E16/E12</f>
        <v>0.34572824763350712</v>
      </c>
      <c r="F17" s="28">
        <f t="shared" si="2"/>
        <v>0.39283390003500263</v>
      </c>
      <c r="G17" s="28">
        <f t="shared" si="2"/>
        <v>0.43522156499284032</v>
      </c>
      <c r="H17" s="28">
        <f t="shared" si="2"/>
        <v>0.43089489390625535</v>
      </c>
      <c r="I17" s="28">
        <f t="shared" si="2"/>
        <v>0.34198327641672976</v>
      </c>
      <c r="J17" s="28">
        <f t="shared" si="2"/>
        <v>0.39749147896759995</v>
      </c>
      <c r="K17" s="28">
        <f t="shared" si="2"/>
        <v>0.4103554065292685</v>
      </c>
    </row>
    <row r="18" spans="1:12" s="23" customFormat="1" x14ac:dyDescent="0.2"/>
    <row r="19" spans="1:12" s="23" customFormat="1" x14ac:dyDescent="0.2">
      <c r="A19" s="15" t="s">
        <v>29</v>
      </c>
      <c r="B19" s="19">
        <v>0</v>
      </c>
      <c r="C19" s="19">
        <v>0</v>
      </c>
      <c r="D19" s="19">
        <v>0</v>
      </c>
      <c r="E19" s="19">
        <v>0</v>
      </c>
      <c r="F19" s="19">
        <v>0</v>
      </c>
      <c r="G19" s="19">
        <v>0</v>
      </c>
      <c r="H19" s="19">
        <v>0</v>
      </c>
      <c r="I19" s="19">
        <v>0</v>
      </c>
      <c r="J19" s="19">
        <v>0</v>
      </c>
      <c r="K19" s="19">
        <v>0</v>
      </c>
    </row>
    <row r="20" spans="1:12" s="23" customFormat="1" x14ac:dyDescent="0.2">
      <c r="A20" s="15" t="s">
        <v>28</v>
      </c>
      <c r="B20" s="19">
        <v>0</v>
      </c>
      <c r="C20" s="19">
        <v>0</v>
      </c>
      <c r="D20" s="19">
        <v>0</v>
      </c>
      <c r="E20" s="19">
        <v>0</v>
      </c>
      <c r="F20" s="19">
        <v>0</v>
      </c>
      <c r="G20" s="19">
        <v>0</v>
      </c>
      <c r="H20" s="19">
        <v>0</v>
      </c>
      <c r="I20" s="19">
        <v>0</v>
      </c>
      <c r="J20" s="19">
        <v>0</v>
      </c>
      <c r="K20" s="19">
        <v>0</v>
      </c>
    </row>
    <row r="21" spans="1:12" s="23" customFormat="1" x14ac:dyDescent="0.2">
      <c r="A21" s="15" t="s">
        <v>18</v>
      </c>
      <c r="B21" s="19">
        <v>0</v>
      </c>
      <c r="C21" s="19">
        <v>0</v>
      </c>
      <c r="D21" s="19">
        <v>0</v>
      </c>
      <c r="E21" s="19">
        <v>0</v>
      </c>
      <c r="F21" s="19">
        <v>0</v>
      </c>
      <c r="G21" s="19">
        <v>0</v>
      </c>
      <c r="H21" s="19">
        <v>0</v>
      </c>
      <c r="I21" s="19">
        <v>0</v>
      </c>
      <c r="J21" s="19">
        <v>0</v>
      </c>
      <c r="K21" s="19">
        <v>0</v>
      </c>
    </row>
    <row r="22" spans="1:12" s="22" customFormat="1" x14ac:dyDescent="0.2">
      <c r="A22" s="22" t="s">
        <v>23</v>
      </c>
      <c r="B22" s="20">
        <f>SUM(B16,B19:B21)</f>
        <v>16.064</v>
      </c>
      <c r="C22" s="20">
        <f>SUM(C16,C19:C21)</f>
        <v>16.484000000000002</v>
      </c>
      <c r="D22" s="20">
        <f>SUM(D16,D19:D21)</f>
        <v>16.97469201785875</v>
      </c>
      <c r="E22" s="20">
        <f t="shared" ref="E22:K22" si="3">SUM(E16,E19:E21)</f>
        <v>14.287590264237874</v>
      </c>
      <c r="F22" s="20">
        <f t="shared" si="3"/>
        <v>12.778044755757776</v>
      </c>
      <c r="G22" s="20">
        <f t="shared" si="3"/>
        <v>16.24804448270773</v>
      </c>
      <c r="H22" s="20">
        <f t="shared" si="3"/>
        <v>15.220014530969873</v>
      </c>
      <c r="I22" s="20">
        <f t="shared" si="3"/>
        <v>13.93630925196056</v>
      </c>
      <c r="J22" s="20">
        <f t="shared" si="3"/>
        <v>11.740361623908973</v>
      </c>
      <c r="K22" s="20">
        <f t="shared" si="3"/>
        <v>11.855321211125656</v>
      </c>
    </row>
    <row r="23" spans="1:12" s="22" customFormat="1" x14ac:dyDescent="0.2">
      <c r="B23" s="28"/>
      <c r="C23" s="28"/>
      <c r="D23" s="20"/>
      <c r="E23" s="20"/>
      <c r="F23" s="20"/>
      <c r="G23" s="20"/>
      <c r="H23" s="20"/>
      <c r="I23" s="20"/>
      <c r="J23" s="20"/>
      <c r="K23" s="20"/>
    </row>
    <row r="24" spans="1:12" s="22" customFormat="1" x14ac:dyDescent="0.2">
      <c r="A24" s="22" t="s">
        <v>27</v>
      </c>
      <c r="B24" s="20">
        <f>SUM(B22:E22)</f>
        <v>63.810282282096622</v>
      </c>
      <c r="C24" s="20">
        <f>SUM(C22:F22)</f>
        <v>60.524327037854405</v>
      </c>
      <c r="D24" s="20">
        <f>SUM(D22:G22)</f>
        <v>60.288371520562123</v>
      </c>
      <c r="E24" s="20">
        <f t="shared" ref="E24:H24" si="4">SUM(E22:H22)</f>
        <v>58.533694033673257</v>
      </c>
      <c r="F24" s="20">
        <f t="shared" si="4"/>
        <v>58.182413021395938</v>
      </c>
      <c r="G24" s="20">
        <f t="shared" si="4"/>
        <v>57.144729889547136</v>
      </c>
      <c r="H24" s="20">
        <f t="shared" si="4"/>
        <v>52.752006617965066</v>
      </c>
      <c r="I24" s="20"/>
      <c r="J24" s="20"/>
      <c r="K24" s="20"/>
    </row>
    <row r="25" spans="1:12" s="23" customFormat="1" x14ac:dyDescent="0.2">
      <c r="A25" s="15" t="s">
        <v>26</v>
      </c>
      <c r="B25" s="27">
        <f>C25</f>
        <v>6.4756729621455946</v>
      </c>
      <c r="C25" s="27">
        <f>67-C24</f>
        <v>6.4756729621455946</v>
      </c>
      <c r="D25" s="27">
        <f>64-D24</f>
        <v>3.7116284794378771</v>
      </c>
      <c r="E25" s="27">
        <v>0</v>
      </c>
      <c r="F25" s="27">
        <v>0</v>
      </c>
      <c r="G25" s="27">
        <v>0</v>
      </c>
      <c r="H25" s="27">
        <v>0</v>
      </c>
      <c r="I25" s="27"/>
      <c r="J25" s="27"/>
      <c r="K25" s="27"/>
    </row>
    <row r="26" spans="1:12" s="23" customFormat="1" x14ac:dyDescent="0.2">
      <c r="A26" s="15" t="s">
        <v>25</v>
      </c>
      <c r="B26" s="21">
        <v>0</v>
      </c>
      <c r="C26" s="21">
        <v>0</v>
      </c>
      <c r="D26" s="21">
        <v>0</v>
      </c>
      <c r="E26" s="21">
        <v>0</v>
      </c>
      <c r="F26" s="21">
        <v>0</v>
      </c>
      <c r="G26" s="21">
        <v>0</v>
      </c>
      <c r="H26" s="21">
        <v>0</v>
      </c>
      <c r="I26" s="26"/>
      <c r="J26" s="26"/>
      <c r="K26" s="26"/>
    </row>
    <row r="27" spans="1:12" s="24" customFormat="1" x14ac:dyDescent="0.2">
      <c r="A27" s="22" t="s">
        <v>24</v>
      </c>
      <c r="B27" s="20">
        <f>SUM(B24:B26)</f>
        <v>70.285955244242217</v>
      </c>
      <c r="C27" s="20">
        <f>SUM(C24:C26)</f>
        <v>67</v>
      </c>
      <c r="D27" s="20">
        <f>SUM(D24:D26)</f>
        <v>64</v>
      </c>
      <c r="E27" s="20">
        <f t="shared" ref="E27:H27" si="5">SUM(E24:E26)</f>
        <v>58.533694033673257</v>
      </c>
      <c r="F27" s="20">
        <f t="shared" si="5"/>
        <v>58.182413021395938</v>
      </c>
      <c r="G27" s="20">
        <f t="shared" si="5"/>
        <v>57.144729889547136</v>
      </c>
      <c r="H27" s="20">
        <f t="shared" si="5"/>
        <v>52.752006617965066</v>
      </c>
      <c r="I27" s="25"/>
      <c r="J27" s="25"/>
      <c r="K27" s="25"/>
    </row>
    <row r="28" spans="1:12" s="23" customFormat="1" x14ac:dyDescent="0.2"/>
    <row r="29" spans="1:12" s="22" customFormat="1" x14ac:dyDescent="0.2">
      <c r="A29" s="22" t="s">
        <v>23</v>
      </c>
      <c r="B29" s="20">
        <f t="shared" ref="B29:K29" si="6">B22</f>
        <v>16.064</v>
      </c>
      <c r="C29" s="20">
        <f t="shared" si="6"/>
        <v>16.484000000000002</v>
      </c>
      <c r="D29" s="20">
        <f t="shared" si="6"/>
        <v>16.97469201785875</v>
      </c>
      <c r="E29" s="20">
        <f t="shared" si="6"/>
        <v>14.287590264237874</v>
      </c>
      <c r="F29" s="20">
        <f t="shared" si="6"/>
        <v>12.778044755757776</v>
      </c>
      <c r="G29" s="20">
        <f t="shared" si="6"/>
        <v>16.24804448270773</v>
      </c>
      <c r="H29" s="20">
        <f t="shared" si="6"/>
        <v>15.220014530969873</v>
      </c>
      <c r="I29" s="20">
        <f t="shared" si="6"/>
        <v>13.93630925196056</v>
      </c>
      <c r="J29" s="20">
        <f t="shared" si="6"/>
        <v>11.740361623908973</v>
      </c>
      <c r="K29" s="20">
        <f t="shared" si="6"/>
        <v>11.855321211125656</v>
      </c>
    </row>
    <row r="30" spans="1:12" s="11" customFormat="1" x14ac:dyDescent="0.2">
      <c r="A30" s="19" t="s">
        <v>22</v>
      </c>
      <c r="B30" s="19">
        <v>0</v>
      </c>
      <c r="C30" s="19">
        <v>0</v>
      </c>
      <c r="D30" s="19">
        <v>0</v>
      </c>
      <c r="E30" s="19">
        <v>0</v>
      </c>
      <c r="F30" s="19">
        <v>0</v>
      </c>
      <c r="G30" s="19">
        <v>0</v>
      </c>
      <c r="H30" s="19">
        <v>0</v>
      </c>
      <c r="I30" s="19">
        <v>0</v>
      </c>
      <c r="J30" s="19">
        <v>0</v>
      </c>
      <c r="K30" s="19">
        <v>0</v>
      </c>
    </row>
    <row r="31" spans="1:12" s="11" customFormat="1" x14ac:dyDescent="0.2">
      <c r="A31" s="19" t="s">
        <v>21</v>
      </c>
      <c r="B31" s="19">
        <v>0</v>
      </c>
      <c r="C31" s="19">
        <v>0</v>
      </c>
      <c r="D31" s="19">
        <v>0</v>
      </c>
      <c r="E31" s="19">
        <v>0</v>
      </c>
      <c r="F31" s="19">
        <v>0</v>
      </c>
      <c r="G31" s="19">
        <v>0</v>
      </c>
      <c r="H31" s="19">
        <v>0</v>
      </c>
      <c r="I31" s="19">
        <v>0</v>
      </c>
      <c r="J31" s="19">
        <v>0</v>
      </c>
      <c r="K31" s="19">
        <v>0</v>
      </c>
    </row>
    <row r="32" spans="1:12" s="11" customFormat="1" x14ac:dyDescent="0.2">
      <c r="A32" s="19" t="s">
        <v>20</v>
      </c>
      <c r="B32" s="19">
        <v>0</v>
      </c>
      <c r="C32" s="19">
        <v>0</v>
      </c>
      <c r="D32" s="19">
        <v>0</v>
      </c>
      <c r="E32" s="19">
        <v>0</v>
      </c>
      <c r="F32" s="19">
        <v>0</v>
      </c>
      <c r="G32" s="19">
        <v>0</v>
      </c>
      <c r="H32" s="19">
        <v>0</v>
      </c>
      <c r="I32" s="19">
        <v>0</v>
      </c>
      <c r="J32" s="19">
        <v>0</v>
      </c>
      <c r="K32" s="19">
        <v>0</v>
      </c>
      <c r="L32" s="23"/>
    </row>
    <row r="33" spans="1:12" s="11" customFormat="1" x14ac:dyDescent="0.2">
      <c r="A33" s="19" t="s">
        <v>19</v>
      </c>
      <c r="B33" s="19">
        <v>0</v>
      </c>
      <c r="C33" s="19">
        <v>0</v>
      </c>
      <c r="D33" s="19">
        <v>0</v>
      </c>
      <c r="E33" s="19">
        <v>0</v>
      </c>
      <c r="F33" s="19">
        <v>0</v>
      </c>
      <c r="G33" s="19">
        <v>0</v>
      </c>
      <c r="H33" s="19">
        <v>0</v>
      </c>
      <c r="I33" s="19">
        <v>0</v>
      </c>
      <c r="J33" s="19">
        <v>0</v>
      </c>
      <c r="K33" s="19">
        <v>0</v>
      </c>
      <c r="L33" s="24"/>
    </row>
    <row r="34" spans="1:12" s="11" customFormat="1" x14ac:dyDescent="0.2">
      <c r="A34" s="19" t="s">
        <v>18</v>
      </c>
      <c r="B34" s="21">
        <v>0</v>
      </c>
      <c r="C34" s="21">
        <v>0</v>
      </c>
      <c r="D34" s="21">
        <v>0</v>
      </c>
      <c r="E34" s="21">
        <v>0</v>
      </c>
      <c r="F34" s="21">
        <v>0</v>
      </c>
      <c r="G34" s="21">
        <v>0</v>
      </c>
      <c r="H34" s="21">
        <v>0</v>
      </c>
      <c r="I34" s="21">
        <v>0</v>
      </c>
      <c r="J34" s="21">
        <v>0</v>
      </c>
      <c r="K34" s="21">
        <v>0</v>
      </c>
      <c r="L34" s="23"/>
    </row>
    <row r="35" spans="1:12" s="20" customFormat="1" x14ac:dyDescent="0.2">
      <c r="A35" s="20" t="s">
        <v>17</v>
      </c>
      <c r="B35" s="20">
        <v>0</v>
      </c>
      <c r="C35" s="20">
        <v>0</v>
      </c>
      <c r="D35" s="20">
        <v>0</v>
      </c>
      <c r="E35" s="20">
        <v>0</v>
      </c>
      <c r="F35" s="20">
        <v>0</v>
      </c>
      <c r="G35" s="20">
        <v>0</v>
      </c>
      <c r="H35" s="20">
        <v>0</v>
      </c>
      <c r="I35" s="20">
        <v>0</v>
      </c>
      <c r="J35" s="20">
        <v>0</v>
      </c>
      <c r="K35" s="20">
        <v>0</v>
      </c>
      <c r="L35" s="22"/>
    </row>
    <row r="36" spans="1:12" s="11" customFormat="1" x14ac:dyDescent="0.2">
      <c r="A36" s="19" t="s">
        <v>16</v>
      </c>
      <c r="B36" s="21">
        <v>0</v>
      </c>
      <c r="C36" s="21">
        <v>0</v>
      </c>
      <c r="D36" s="21">
        <v>0</v>
      </c>
      <c r="E36" s="21">
        <v>0</v>
      </c>
      <c r="F36" s="21">
        <v>0</v>
      </c>
      <c r="G36" s="21">
        <v>0</v>
      </c>
      <c r="H36" s="21">
        <v>0</v>
      </c>
      <c r="I36" s="21">
        <v>0</v>
      </c>
      <c r="J36" s="21">
        <v>0</v>
      </c>
      <c r="K36" s="21">
        <v>0</v>
      </c>
    </row>
    <row r="37" spans="1:12" s="20" customFormat="1" x14ac:dyDescent="0.2">
      <c r="A37" s="20" t="s">
        <v>15</v>
      </c>
      <c r="B37" s="20">
        <f>+B35+B36</f>
        <v>0</v>
      </c>
      <c r="C37" s="20">
        <f>+C35+C36</f>
        <v>0</v>
      </c>
      <c r="D37" s="20">
        <f>+D35+D36</f>
        <v>0</v>
      </c>
      <c r="E37" s="20">
        <f t="shared" ref="E37:K37" si="7">+E35+E36</f>
        <v>0</v>
      </c>
      <c r="F37" s="20">
        <f t="shared" si="7"/>
        <v>0</v>
      </c>
      <c r="G37" s="20">
        <f t="shared" si="7"/>
        <v>0</v>
      </c>
      <c r="H37" s="20">
        <f t="shared" si="7"/>
        <v>0</v>
      </c>
      <c r="I37" s="20">
        <f t="shared" si="7"/>
        <v>0</v>
      </c>
      <c r="J37" s="20">
        <f t="shared" si="7"/>
        <v>0</v>
      </c>
      <c r="K37" s="20">
        <f t="shared" si="7"/>
        <v>0</v>
      </c>
      <c r="L37" s="11"/>
    </row>
    <row r="38" spans="1:12" x14ac:dyDescent="0.2">
      <c r="L38" s="11"/>
    </row>
    <row r="39" spans="1:12" s="16" customFormat="1" x14ac:dyDescent="0.2">
      <c r="A39" s="18" t="s">
        <v>14</v>
      </c>
      <c r="B39" s="19">
        <v>0</v>
      </c>
      <c r="C39" s="19">
        <v>0</v>
      </c>
      <c r="D39" s="19">
        <v>0</v>
      </c>
      <c r="E39" s="19"/>
      <c r="F39" s="19"/>
      <c r="G39" s="19"/>
      <c r="H39" s="19"/>
      <c r="I39" s="19"/>
      <c r="J39" s="19"/>
      <c r="K39" s="19"/>
      <c r="L39" s="11"/>
    </row>
    <row r="40" spans="1:12" s="16" customFormat="1" x14ac:dyDescent="0.2">
      <c r="A40" s="18" t="s">
        <v>13</v>
      </c>
      <c r="B40" s="19">
        <f>B41-125</f>
        <v>314.21299999999997</v>
      </c>
      <c r="C40" s="19">
        <v>315</v>
      </c>
      <c r="D40" s="19">
        <v>315</v>
      </c>
      <c r="E40" s="19"/>
      <c r="F40" s="19"/>
      <c r="G40" s="19"/>
      <c r="H40" s="19"/>
      <c r="I40" s="19"/>
      <c r="J40" s="19"/>
      <c r="K40" s="19"/>
      <c r="L40" s="11"/>
    </row>
    <row r="41" spans="1:12" s="16" customFormat="1" x14ac:dyDescent="0.2">
      <c r="A41" s="18" t="s">
        <v>12</v>
      </c>
      <c r="B41" s="19">
        <f>436.063+3.15</f>
        <v>439.21299999999997</v>
      </c>
      <c r="C41" s="19">
        <f>C39+C40+125</f>
        <v>440</v>
      </c>
      <c r="D41" s="19">
        <f>D39+D40+125</f>
        <v>440</v>
      </c>
      <c r="E41" s="19"/>
      <c r="F41" s="19"/>
      <c r="G41" s="19"/>
      <c r="H41" s="19"/>
      <c r="I41" s="19"/>
      <c r="J41" s="19"/>
      <c r="K41" s="19"/>
      <c r="L41" s="20"/>
    </row>
    <row r="42" spans="1:12" s="16" customFormat="1" x14ac:dyDescent="0.2">
      <c r="A42" s="18" t="s">
        <v>11</v>
      </c>
      <c r="B42" s="17">
        <v>876</v>
      </c>
      <c r="C42" s="17">
        <v>876</v>
      </c>
      <c r="D42" s="17">
        <v>876</v>
      </c>
      <c r="E42" s="17"/>
      <c r="F42" s="17"/>
      <c r="G42" s="17"/>
      <c r="H42" s="17"/>
      <c r="I42" s="17"/>
      <c r="J42" s="17"/>
      <c r="K42" s="17"/>
      <c r="L42" s="11"/>
    </row>
    <row r="43" spans="1:12" x14ac:dyDescent="0.2">
      <c r="B43" s="16"/>
      <c r="C43" s="16"/>
      <c r="D43" s="16"/>
      <c r="E43" s="16"/>
      <c r="F43" s="16"/>
      <c r="L43" s="20"/>
    </row>
    <row r="44" spans="1:12" x14ac:dyDescent="0.2">
      <c r="A44" s="15" t="s">
        <v>10</v>
      </c>
      <c r="B44" s="27">
        <v>16.934000000000001</v>
      </c>
      <c r="C44" s="27">
        <v>12.105</v>
      </c>
      <c r="D44" s="27">
        <v>5</v>
      </c>
      <c r="E44" s="27"/>
      <c r="F44" s="27"/>
      <c r="G44" s="27"/>
      <c r="H44" s="27"/>
      <c r="I44" s="27"/>
      <c r="J44" s="14"/>
      <c r="K44" s="14"/>
    </row>
    <row r="46" spans="1:12" x14ac:dyDescent="0.2">
      <c r="A46" s="1" t="s">
        <v>9</v>
      </c>
      <c r="B46" s="13">
        <f>SUM(B12:E12)</f>
        <v>158.34413025185188</v>
      </c>
      <c r="C46" s="13">
        <f>SUM(C12:F12)</f>
        <v>153.61598682079668</v>
      </c>
      <c r="D46" s="13">
        <f>SUM(D12:G12)</f>
        <v>152.82279794419546</v>
      </c>
      <c r="E46" s="11"/>
      <c r="F46" s="11"/>
      <c r="G46" s="11"/>
      <c r="H46" s="11"/>
    </row>
    <row r="47" spans="1:12" x14ac:dyDescent="0.2">
      <c r="A47" s="1" t="s">
        <v>8</v>
      </c>
      <c r="B47" s="13">
        <f>B27</f>
        <v>70.285955244242217</v>
      </c>
      <c r="C47" s="13">
        <f>C27</f>
        <v>67</v>
      </c>
      <c r="D47" s="13">
        <f>D27</f>
        <v>64</v>
      </c>
      <c r="E47" s="11"/>
      <c r="F47" s="11"/>
      <c r="G47" s="11"/>
      <c r="H47" s="11"/>
    </row>
    <row r="48" spans="1:12" x14ac:dyDescent="0.2">
      <c r="A48" s="1" t="s">
        <v>7</v>
      </c>
      <c r="B48" s="13">
        <f>B47*C48/C47</f>
        <v>20.822958844444795</v>
      </c>
      <c r="C48" s="13">
        <f>C47*D48/D47</f>
        <v>19.849459792212045</v>
      </c>
      <c r="D48" s="12">
        <v>18.960678010471206</v>
      </c>
      <c r="E48" s="11"/>
      <c r="F48" s="11"/>
      <c r="G48" s="11"/>
      <c r="H48" s="11"/>
    </row>
    <row r="50" spans="1:11" s="10" customFormat="1" x14ac:dyDescent="0.2">
      <c r="A50" s="10" t="s">
        <v>6</v>
      </c>
      <c r="B50" s="10">
        <f>+SUM(B39:B40)/B47</f>
        <v>4.470494836530519</v>
      </c>
      <c r="C50" s="10">
        <f>+SUM(C39:C40)/C47</f>
        <v>4.7014925373134329</v>
      </c>
      <c r="D50" s="10">
        <f>+SUM(D39:D40)/D47</f>
        <v>4.921875</v>
      </c>
    </row>
    <row r="51" spans="1:11" s="10" customFormat="1" x14ac:dyDescent="0.2">
      <c r="A51" s="10" t="s">
        <v>5</v>
      </c>
      <c r="B51" s="10">
        <f>+B41/B47</f>
        <v>6.2489440240762759</v>
      </c>
      <c r="C51" s="10">
        <f>+C41/C47</f>
        <v>6.5671641791044779</v>
      </c>
      <c r="D51" s="10">
        <f>+D41/D47</f>
        <v>6.875</v>
      </c>
    </row>
    <row r="52" spans="1:11" s="10" customFormat="1" x14ac:dyDescent="0.2">
      <c r="A52" s="10" t="s">
        <v>4</v>
      </c>
      <c r="B52" s="10">
        <f>+(B41-B44)/B47</f>
        <v>6.0080139557410766</v>
      </c>
      <c r="C52" s="10">
        <f>+(C41-C44)/C47</f>
        <v>6.3864925373134325</v>
      </c>
      <c r="D52" s="10">
        <f>+(D41-D44)/D47</f>
        <v>6.796875</v>
      </c>
    </row>
    <row r="53" spans="1:11" s="6" customFormat="1" x14ac:dyDescent="0.2">
      <c r="A53" s="6" t="s">
        <v>3</v>
      </c>
      <c r="B53" s="6">
        <f>+B48/B41</f>
        <v>4.740970518733461E-2</v>
      </c>
      <c r="C53" s="6">
        <f>+C48/C41</f>
        <v>4.5112408618663738E-2</v>
      </c>
      <c r="D53" s="6">
        <f>+D48/D41</f>
        <v>4.3092450023798197E-2</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18.471385862061741</v>
      </c>
      <c r="C55" s="7">
        <f>IF(C42=0,IF(C54="","","*"&amp;TEXT(C54,"0.0x")),(C41+C42-C44)/C47)</f>
        <v>19.461119402985073</v>
      </c>
      <c r="D55" s="7">
        <f>IF(D42=0,IF(D54="","","*"&amp;TEXT(D54,"0.0x")),(D41+D42-D44)/D47)</f>
        <v>20.484375</v>
      </c>
      <c r="E55" s="7"/>
      <c r="F55" s="7"/>
      <c r="G55" s="7"/>
      <c r="H55" s="7"/>
      <c r="I55" s="7" t="str">
        <f t="shared" ref="I55:K55" si="8">IF(I42=0,IF(I54="","",CONCATENATE("* ",I54,"x")),(I41+I42-I44)/I47)</f>
        <v/>
      </c>
      <c r="J55" s="7" t="str">
        <f t="shared" si="8"/>
        <v/>
      </c>
      <c r="K55" s="7" t="str">
        <f t="shared" si="8"/>
        <v/>
      </c>
    </row>
    <row r="56" spans="1:11" x14ac:dyDescent="0.2">
      <c r="H56" s="3"/>
    </row>
    <row r="57" spans="1:11" ht="80.25" customHeight="1" x14ac:dyDescent="0.2">
      <c r="A57" s="5" t="s">
        <v>0</v>
      </c>
      <c r="B57" s="4" t="s">
        <v>235</v>
      </c>
      <c r="C57" s="4" t="s">
        <v>235</v>
      </c>
      <c r="D57" s="4" t="s">
        <v>104</v>
      </c>
      <c r="E57" s="4"/>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ignoredErrors>
    <ignoredError sqref="D46" formulaRange="1"/>
  </ignoredErrors>
  <legacy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2:N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42" sqref="B42"/>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353</v>
      </c>
    </row>
    <row r="3" spans="1:11" s="35" customFormat="1" x14ac:dyDescent="0.2">
      <c r="A3" s="36" t="s">
        <v>43</v>
      </c>
      <c r="B3" s="35" t="s">
        <v>350</v>
      </c>
    </row>
    <row r="4" spans="1:11" x14ac:dyDescent="0.2">
      <c r="A4" s="34" t="s">
        <v>41</v>
      </c>
      <c r="B4" s="1" t="s">
        <v>40</v>
      </c>
    </row>
    <row r="5" spans="1:11" x14ac:dyDescent="0.2">
      <c r="A5" s="34" t="s">
        <v>39</v>
      </c>
    </row>
    <row r="6" spans="1:11" x14ac:dyDescent="0.2">
      <c r="A6" s="34" t="s">
        <v>38</v>
      </c>
      <c r="B6" s="1">
        <v>4</v>
      </c>
    </row>
    <row r="7" spans="1:11" x14ac:dyDescent="0.2">
      <c r="A7" s="34" t="s">
        <v>37</v>
      </c>
      <c r="B7" s="1" t="s">
        <v>375</v>
      </c>
    </row>
    <row r="8" spans="1:11" x14ac:dyDescent="0.2">
      <c r="A8" s="34" t="s">
        <v>281</v>
      </c>
      <c r="B8" s="1" t="s">
        <v>351</v>
      </c>
    </row>
    <row r="9" spans="1:11" x14ac:dyDescent="0.2">
      <c r="A9" s="22"/>
    </row>
    <row r="10" spans="1:11" x14ac:dyDescent="0.2">
      <c r="A10" s="22" t="s">
        <v>36</v>
      </c>
      <c r="B10" s="33">
        <v>43646</v>
      </c>
      <c r="C10" s="33">
        <v>43555</v>
      </c>
      <c r="D10" s="33">
        <v>43465</v>
      </c>
      <c r="E10" s="33">
        <f>EOMONTH(D10,-3)</f>
        <v>43373</v>
      </c>
      <c r="F10" s="33">
        <f t="shared" ref="F10:K10" si="0">EOMONTH(E10,-3)</f>
        <v>43281</v>
      </c>
      <c r="G10" s="33">
        <f t="shared" si="0"/>
        <v>43190</v>
      </c>
      <c r="H10" s="33">
        <f t="shared" si="0"/>
        <v>43100</v>
      </c>
      <c r="I10" s="33">
        <f t="shared" si="0"/>
        <v>43008</v>
      </c>
      <c r="J10" s="33">
        <f t="shared" si="0"/>
        <v>42916</v>
      </c>
      <c r="K10" s="33">
        <f t="shared" si="0"/>
        <v>42825</v>
      </c>
    </row>
    <row r="12" spans="1:11" x14ac:dyDescent="0.2">
      <c r="A12" s="15" t="s">
        <v>35</v>
      </c>
      <c r="B12" s="19">
        <v>61.533000000000001</v>
      </c>
      <c r="C12" s="19">
        <v>71.411000000000001</v>
      </c>
      <c r="D12" s="19">
        <v>77.40356311000005</v>
      </c>
      <c r="E12" s="19">
        <v>76.486000000000004</v>
      </c>
      <c r="F12" s="19">
        <v>71.998000000000005</v>
      </c>
      <c r="G12" s="19">
        <v>98.462436889999978</v>
      </c>
      <c r="H12" s="19">
        <v>96.861137359999987</v>
      </c>
      <c r="I12" s="19">
        <v>80.635218550000005</v>
      </c>
      <c r="J12" s="19">
        <v>66.508692670000002</v>
      </c>
      <c r="K12" s="19">
        <v>81.631141279999994</v>
      </c>
    </row>
    <row r="13" spans="1:11" s="28" customFormat="1" x14ac:dyDescent="0.2">
      <c r="A13" s="28" t="s">
        <v>34</v>
      </c>
      <c r="B13" s="28">
        <f t="shared" ref="B13:G13" si="1">+B12/F12-1</f>
        <v>-0.14535125975721552</v>
      </c>
      <c r="C13" s="28">
        <f t="shared" si="1"/>
        <v>-0.27473864901618505</v>
      </c>
      <c r="D13" s="28">
        <f t="shared" si="1"/>
        <v>-0.20088112508613987</v>
      </c>
      <c r="E13" s="28">
        <f t="shared" si="1"/>
        <v>-5.1456654109856115E-2</v>
      </c>
      <c r="F13" s="28">
        <f t="shared" si="1"/>
        <v>8.2535186148322115E-2</v>
      </c>
      <c r="G13" s="28">
        <f t="shared" si="1"/>
        <v>0.20618718966904526</v>
      </c>
    </row>
    <row r="14" spans="1:11" s="23" customFormat="1" x14ac:dyDescent="0.2">
      <c r="A14" s="31" t="s">
        <v>33</v>
      </c>
      <c r="B14" s="32" t="s">
        <v>32</v>
      </c>
      <c r="C14" s="32" t="s">
        <v>32</v>
      </c>
      <c r="D14" s="32" t="s">
        <v>32</v>
      </c>
      <c r="E14" s="32" t="s">
        <v>32</v>
      </c>
      <c r="F14" s="32" t="s">
        <v>32</v>
      </c>
      <c r="G14" s="32" t="s">
        <v>32</v>
      </c>
      <c r="H14" s="31"/>
      <c r="I14" s="31"/>
      <c r="J14" s="31"/>
      <c r="K14" s="31"/>
    </row>
    <row r="16" spans="1:11" s="22" customFormat="1" x14ac:dyDescent="0.2">
      <c r="A16" s="30" t="s">
        <v>31</v>
      </c>
      <c r="B16" s="29">
        <v>20.724</v>
      </c>
      <c r="C16" s="29">
        <v>29.340999999999994</v>
      </c>
      <c r="D16" s="29">
        <v>19.042204290000065</v>
      </c>
      <c r="E16" s="29">
        <v>28.992000000000004</v>
      </c>
      <c r="F16" s="29">
        <v>31.824000000000005</v>
      </c>
      <c r="G16" s="29">
        <v>52.770997709999982</v>
      </c>
      <c r="H16" s="29">
        <v>50.235532739999996</v>
      </c>
      <c r="I16" s="29">
        <v>45.019419270000022</v>
      </c>
      <c r="J16" s="29">
        <v>34.972345380000007</v>
      </c>
      <c r="K16" s="29">
        <v>46.709342149999998</v>
      </c>
    </row>
    <row r="17" spans="1:11" s="28" customFormat="1" x14ac:dyDescent="0.2">
      <c r="A17" s="28" t="s">
        <v>30</v>
      </c>
      <c r="B17" s="28">
        <f t="shared" ref="B17:K17" si="2">+B16/B12</f>
        <v>0.336794890546536</v>
      </c>
      <c r="C17" s="28">
        <f t="shared" si="2"/>
        <v>0.41087507526851597</v>
      </c>
      <c r="D17" s="28">
        <f t="shared" si="2"/>
        <v>0.24601198607535332</v>
      </c>
      <c r="E17" s="28">
        <f t="shared" si="2"/>
        <v>0.37904976074052771</v>
      </c>
      <c r="F17" s="28">
        <f t="shared" si="2"/>
        <v>0.4420122781188367</v>
      </c>
      <c r="G17" s="28">
        <f t="shared" si="2"/>
        <v>0.53595055512341783</v>
      </c>
      <c r="H17" s="28">
        <f t="shared" si="2"/>
        <v>0.51863455364241251</v>
      </c>
      <c r="I17" s="28">
        <f t="shared" si="2"/>
        <v>0.55830963293147817</v>
      </c>
      <c r="J17" s="28">
        <f t="shared" si="2"/>
        <v>0.52583119553295543</v>
      </c>
      <c r="K17" s="28">
        <f t="shared" si="2"/>
        <v>0.57220003809310949</v>
      </c>
    </row>
    <row r="18" spans="1:11" s="23" customFormat="1" x14ac:dyDescent="0.2"/>
    <row r="19" spans="1:11" s="23" customFormat="1" x14ac:dyDescent="0.2">
      <c r="A19" s="15" t="s">
        <v>29</v>
      </c>
      <c r="B19" s="19">
        <v>0</v>
      </c>
      <c r="C19" s="19">
        <v>0</v>
      </c>
      <c r="D19" s="19">
        <v>0</v>
      </c>
      <c r="E19" s="19">
        <v>0</v>
      </c>
      <c r="F19" s="19">
        <v>0</v>
      </c>
      <c r="G19" s="19">
        <v>0</v>
      </c>
      <c r="H19" s="19">
        <v>0</v>
      </c>
      <c r="I19" s="19">
        <v>0</v>
      </c>
      <c r="J19" s="19">
        <v>0</v>
      </c>
      <c r="K19" s="19">
        <v>0</v>
      </c>
    </row>
    <row r="20" spans="1:11" s="23" customFormat="1" x14ac:dyDescent="0.2">
      <c r="A20" s="15" t="s">
        <v>28</v>
      </c>
      <c r="B20" s="19">
        <v>0</v>
      </c>
      <c r="C20" s="19">
        <v>0</v>
      </c>
      <c r="D20" s="19">
        <v>0</v>
      </c>
      <c r="E20" s="19">
        <v>0</v>
      </c>
      <c r="F20" s="19">
        <v>0</v>
      </c>
      <c r="G20" s="19">
        <v>0</v>
      </c>
      <c r="H20" s="19">
        <v>0</v>
      </c>
      <c r="I20" s="19">
        <v>0</v>
      </c>
      <c r="J20" s="19">
        <v>0</v>
      </c>
      <c r="K20" s="19">
        <v>0</v>
      </c>
    </row>
    <row r="21" spans="1:11" s="23" customFormat="1" x14ac:dyDescent="0.2">
      <c r="A21" s="15" t="s">
        <v>18</v>
      </c>
      <c r="B21" s="19">
        <v>-1.1239999999999988</v>
      </c>
      <c r="C21" s="19">
        <v>0.90700000000000713</v>
      </c>
      <c r="D21" s="19">
        <v>11.930349975468118</v>
      </c>
      <c r="E21" s="19">
        <v>7.9209999999999923</v>
      </c>
      <c r="F21" s="19">
        <v>1.6639999999999944</v>
      </c>
      <c r="G21" s="19">
        <v>0.8554480245318743</v>
      </c>
      <c r="H21" s="19">
        <v>-2.9230632434425416</v>
      </c>
      <c r="I21" s="19">
        <v>1.7259934690682357</v>
      </c>
      <c r="J21" s="19">
        <v>2.0732516385185491</v>
      </c>
      <c r="K21" s="19">
        <v>3.6114144375809616</v>
      </c>
    </row>
    <row r="22" spans="1:11" s="22" customFormat="1" x14ac:dyDescent="0.2">
      <c r="A22" s="22" t="s">
        <v>23</v>
      </c>
      <c r="B22" s="20">
        <f t="shared" ref="B22:K22" si="3">SUM(B16,B19:B21)</f>
        <v>19.600000000000001</v>
      </c>
      <c r="C22" s="20">
        <f t="shared" si="3"/>
        <v>30.248000000000001</v>
      </c>
      <c r="D22" s="20">
        <f t="shared" si="3"/>
        <v>30.972554265468183</v>
      </c>
      <c r="E22" s="20">
        <f t="shared" si="3"/>
        <v>36.912999999999997</v>
      </c>
      <c r="F22" s="20">
        <f t="shared" si="3"/>
        <v>33.488</v>
      </c>
      <c r="G22" s="20">
        <f t="shared" si="3"/>
        <v>53.626445734531856</v>
      </c>
      <c r="H22" s="20">
        <f t="shared" si="3"/>
        <v>47.312469496557455</v>
      </c>
      <c r="I22" s="20">
        <f t="shared" si="3"/>
        <v>46.745412739068257</v>
      </c>
      <c r="J22" s="20">
        <f t="shared" si="3"/>
        <v>37.045597018518556</v>
      </c>
      <c r="K22" s="20">
        <f t="shared" si="3"/>
        <v>50.320756587580959</v>
      </c>
    </row>
    <row r="23" spans="1:11" s="22" customFormat="1" x14ac:dyDescent="0.2">
      <c r="B23" s="20"/>
      <c r="C23" s="20"/>
      <c r="D23" s="20"/>
      <c r="E23" s="20"/>
      <c r="F23" s="20"/>
      <c r="G23" s="20"/>
      <c r="H23" s="20"/>
      <c r="I23" s="20"/>
      <c r="J23" s="20"/>
      <c r="K23" s="20"/>
    </row>
    <row r="24" spans="1:11" s="22" customFormat="1" x14ac:dyDescent="0.2">
      <c r="A24" s="22" t="s">
        <v>27</v>
      </c>
      <c r="B24" s="20">
        <f t="shared" ref="B24:H24" si="4">SUM(B22:E22)</f>
        <v>117.73355426546819</v>
      </c>
      <c r="C24" s="20">
        <f t="shared" si="4"/>
        <v>131.62155426546818</v>
      </c>
      <c r="D24" s="20">
        <f t="shared" si="4"/>
        <v>155.00000000000006</v>
      </c>
      <c r="E24" s="20">
        <f t="shared" si="4"/>
        <v>171.33991523108932</v>
      </c>
      <c r="F24" s="20">
        <f t="shared" si="4"/>
        <v>181.17232797015757</v>
      </c>
      <c r="G24" s="20">
        <f t="shared" si="4"/>
        <v>184.72992498867612</v>
      </c>
      <c r="H24" s="20">
        <f t="shared" si="4"/>
        <v>181.42423584172525</v>
      </c>
      <c r="I24" s="20"/>
      <c r="J24" s="20"/>
      <c r="K24" s="20"/>
    </row>
    <row r="25" spans="1:11" s="23" customFormat="1" x14ac:dyDescent="0.2">
      <c r="A25" s="15" t="s">
        <v>26</v>
      </c>
      <c r="B25" s="27">
        <v>0</v>
      </c>
      <c r="C25" s="27">
        <v>0</v>
      </c>
      <c r="D25" s="27">
        <v>0</v>
      </c>
      <c r="E25" s="27">
        <v>0</v>
      </c>
      <c r="F25" s="27">
        <v>0</v>
      </c>
      <c r="G25" s="27">
        <v>0</v>
      </c>
      <c r="H25" s="27">
        <v>0</v>
      </c>
      <c r="I25" s="27"/>
      <c r="J25" s="27"/>
      <c r="K25" s="27"/>
    </row>
    <row r="26" spans="1:11" s="23" customFormat="1" x14ac:dyDescent="0.2">
      <c r="A26" s="15" t="s">
        <v>25</v>
      </c>
      <c r="B26" s="21">
        <v>0</v>
      </c>
      <c r="C26" s="21">
        <v>0</v>
      </c>
      <c r="D26" s="21">
        <v>0</v>
      </c>
      <c r="E26" s="21">
        <v>0</v>
      </c>
      <c r="F26" s="21">
        <v>0</v>
      </c>
      <c r="G26" s="21">
        <v>0</v>
      </c>
      <c r="H26" s="21">
        <v>0</v>
      </c>
      <c r="I26" s="26"/>
      <c r="J26" s="26"/>
      <c r="K26" s="26"/>
    </row>
    <row r="27" spans="1:11" s="24" customFormat="1" x14ac:dyDescent="0.2">
      <c r="A27" s="22" t="s">
        <v>24</v>
      </c>
      <c r="B27" s="20">
        <f t="shared" ref="B27:C27" si="5">SUM(B24:B26)</f>
        <v>117.73355426546819</v>
      </c>
      <c r="C27" s="20">
        <f t="shared" si="5"/>
        <v>131.62155426546818</v>
      </c>
      <c r="D27" s="20">
        <f t="shared" ref="D27" si="6">SUM(D24:D26)</f>
        <v>155.00000000000006</v>
      </c>
      <c r="E27" s="20">
        <f t="shared" ref="E27:H27" si="7">SUM(E24:E26)</f>
        <v>171.33991523108932</v>
      </c>
      <c r="F27" s="20">
        <f t="shared" si="7"/>
        <v>181.17232797015757</v>
      </c>
      <c r="G27" s="20">
        <f t="shared" si="7"/>
        <v>184.72992498867612</v>
      </c>
      <c r="H27" s="20">
        <f t="shared" si="7"/>
        <v>181.42423584172525</v>
      </c>
      <c r="I27" s="25"/>
      <c r="J27" s="25"/>
      <c r="K27" s="25"/>
    </row>
    <row r="28" spans="1:11" s="23" customFormat="1" x14ac:dyDescent="0.2"/>
    <row r="29" spans="1:11" s="22" customFormat="1" x14ac:dyDescent="0.2">
      <c r="A29" s="22" t="s">
        <v>23</v>
      </c>
      <c r="B29" s="20">
        <f t="shared" ref="B29:C29" si="8">B22</f>
        <v>19.600000000000001</v>
      </c>
      <c r="C29" s="20">
        <f t="shared" si="8"/>
        <v>30.248000000000001</v>
      </c>
      <c r="D29" s="20">
        <f t="shared" ref="D29" si="9">D22</f>
        <v>30.972554265468183</v>
      </c>
      <c r="E29" s="20">
        <f t="shared" ref="E29:K29" si="10">E22</f>
        <v>36.912999999999997</v>
      </c>
      <c r="F29" s="20">
        <f t="shared" si="10"/>
        <v>33.488</v>
      </c>
      <c r="G29" s="20">
        <f t="shared" si="10"/>
        <v>53.626445734531856</v>
      </c>
      <c r="H29" s="20">
        <f t="shared" si="10"/>
        <v>47.312469496557455</v>
      </c>
      <c r="I29" s="20">
        <f t="shared" si="10"/>
        <v>46.745412739068257</v>
      </c>
      <c r="J29" s="20">
        <f t="shared" si="10"/>
        <v>37.045597018518556</v>
      </c>
      <c r="K29" s="20">
        <f t="shared" si="10"/>
        <v>50.320756587580959</v>
      </c>
    </row>
    <row r="30" spans="1:11" s="11" customFormat="1" x14ac:dyDescent="0.2">
      <c r="A30" s="19" t="s">
        <v>22</v>
      </c>
      <c r="B30" s="19">
        <v>-10.42</v>
      </c>
      <c r="C30" s="19">
        <v>-10</v>
      </c>
      <c r="D30" s="19">
        <v>-10.685627</v>
      </c>
      <c r="E30" s="19">
        <v>-6.5439999999999996</v>
      </c>
      <c r="F30" s="19">
        <v>0</v>
      </c>
      <c r="G30" s="19">
        <v>0</v>
      </c>
      <c r="H30" s="19">
        <v>0</v>
      </c>
      <c r="I30" s="19">
        <v>0</v>
      </c>
      <c r="J30" s="19">
        <v>0</v>
      </c>
      <c r="K30" s="19">
        <v>0</v>
      </c>
    </row>
    <row r="31" spans="1:11" s="11" customFormat="1" x14ac:dyDescent="0.2">
      <c r="A31" s="19" t="s">
        <v>21</v>
      </c>
      <c r="B31" s="19">
        <v>-0.35</v>
      </c>
      <c r="C31" s="19">
        <v>-0.02</v>
      </c>
      <c r="D31" s="19">
        <v>0.41107600000000033</v>
      </c>
      <c r="E31" s="19">
        <v>6.31</v>
      </c>
      <c r="F31" s="19">
        <v>-7.165</v>
      </c>
      <c r="G31" s="19">
        <v>-5.6793000000000003E-2</v>
      </c>
      <c r="H31" s="19">
        <v>0.70458900000000002</v>
      </c>
      <c r="I31" s="19">
        <v>0</v>
      </c>
      <c r="J31" s="19">
        <v>-0.70458900000000002</v>
      </c>
      <c r="K31" s="19">
        <v>0</v>
      </c>
    </row>
    <row r="32" spans="1:11" s="11" customFormat="1" x14ac:dyDescent="0.2">
      <c r="A32" s="19" t="s">
        <v>20</v>
      </c>
      <c r="B32" s="19">
        <f>-7.604-24.991+0.912+7.938-0.096+1.226-0.388-6.07-C32</f>
        <v>-13.677000000000007</v>
      </c>
      <c r="C32" s="19">
        <v>-15.395999999999997</v>
      </c>
      <c r="D32" s="19">
        <v>38.021000000000001</v>
      </c>
      <c r="E32" s="19">
        <v>-4.1180900000000022</v>
      </c>
      <c r="F32" s="19">
        <f>0.354+1.693-6.693-1.342+0.188-0.048+2.143-10.023-G32</f>
        <v>4.7619100000000021</v>
      </c>
      <c r="G32" s="19">
        <v>-18.489910000000002</v>
      </c>
      <c r="H32" s="19">
        <v>-2.1966510000000028</v>
      </c>
      <c r="I32" s="19">
        <v>-23.966999999999999</v>
      </c>
      <c r="J32" s="19">
        <v>-14.78</v>
      </c>
      <c r="K32" s="19">
        <v>0</v>
      </c>
    </row>
    <row r="33" spans="1:14" s="11" customFormat="1" x14ac:dyDescent="0.2">
      <c r="A33" s="19" t="s">
        <v>19</v>
      </c>
      <c r="B33" s="19"/>
      <c r="C33" s="19"/>
      <c r="D33" s="19"/>
      <c r="E33" s="19"/>
      <c r="F33" s="19"/>
      <c r="G33" s="19"/>
      <c r="H33" s="19"/>
      <c r="I33" s="19"/>
      <c r="J33" s="19"/>
      <c r="K33" s="19"/>
    </row>
    <row r="34" spans="1:14" s="11" customFormat="1" x14ac:dyDescent="0.2">
      <c r="A34" s="19" t="s">
        <v>18</v>
      </c>
      <c r="B34" s="21"/>
      <c r="C34" s="21"/>
      <c r="D34" s="21"/>
      <c r="E34" s="21"/>
      <c r="F34" s="21"/>
      <c r="G34" s="21"/>
      <c r="H34" s="21"/>
      <c r="I34" s="21"/>
      <c r="J34" s="21"/>
      <c r="K34" s="21"/>
    </row>
    <row r="35" spans="1:14" s="20" customFormat="1" x14ac:dyDescent="0.2">
      <c r="A35" s="20" t="s">
        <v>17</v>
      </c>
      <c r="B35" s="20">
        <v>-5.641</v>
      </c>
      <c r="C35" s="20">
        <v>3.9590000000000001</v>
      </c>
      <c r="D35" s="20">
        <v>48.25</v>
      </c>
      <c r="E35" s="20">
        <v>6.4220000000000041</v>
      </c>
      <c r="F35" s="20">
        <v>29.470441999999998</v>
      </c>
      <c r="G35" s="20">
        <v>34.370558000000003</v>
      </c>
      <c r="H35" s="20">
        <v>48.350511999999995</v>
      </c>
      <c r="I35" s="20">
        <v>21.417000000000002</v>
      </c>
      <c r="J35" s="20">
        <v>66.822999999999993</v>
      </c>
      <c r="K35" s="20">
        <v>0</v>
      </c>
    </row>
    <row r="36" spans="1:14" s="11" customFormat="1" x14ac:dyDescent="0.2">
      <c r="A36" s="19" t="s">
        <v>16</v>
      </c>
      <c r="B36" s="21">
        <v>-0.32499999999999996</v>
      </c>
      <c r="C36" s="21">
        <v>-1.3580000000000001</v>
      </c>
      <c r="D36" s="21">
        <v>-3.3480000000000003</v>
      </c>
      <c r="E36" s="21">
        <v>-0.20643099999999981</v>
      </c>
      <c r="F36" s="21">
        <v>-2.641</v>
      </c>
      <c r="G36" s="21">
        <v>-0.34756900000000002</v>
      </c>
      <c r="H36" s="21">
        <v>-0.69261700000000004</v>
      </c>
      <c r="I36" s="21">
        <v>-0.23700000000000002</v>
      </c>
      <c r="J36" s="21">
        <v>-0.16</v>
      </c>
      <c r="K36" s="21">
        <v>0</v>
      </c>
    </row>
    <row r="37" spans="1:14" s="20" customFormat="1" x14ac:dyDescent="0.2">
      <c r="A37" s="20" t="s">
        <v>15</v>
      </c>
      <c r="B37" s="20">
        <f t="shared" ref="B37:K37" si="11">+B35+B36</f>
        <v>-5.9660000000000002</v>
      </c>
      <c r="C37" s="20">
        <f t="shared" si="11"/>
        <v>2.601</v>
      </c>
      <c r="D37" s="20">
        <f t="shared" si="11"/>
        <v>44.902000000000001</v>
      </c>
      <c r="E37" s="20">
        <f t="shared" si="11"/>
        <v>6.2155690000000039</v>
      </c>
      <c r="F37" s="20">
        <f t="shared" si="11"/>
        <v>26.829442</v>
      </c>
      <c r="G37" s="20">
        <f t="shared" si="11"/>
        <v>34.022989000000003</v>
      </c>
      <c r="H37" s="20">
        <f t="shared" si="11"/>
        <v>47.657894999999996</v>
      </c>
      <c r="I37" s="20">
        <f t="shared" si="11"/>
        <v>21.180000000000003</v>
      </c>
      <c r="J37" s="20">
        <f t="shared" si="11"/>
        <v>66.662999999999997</v>
      </c>
      <c r="K37" s="20">
        <f t="shared" si="11"/>
        <v>0</v>
      </c>
    </row>
    <row r="39" spans="1:14" s="16" customFormat="1" x14ac:dyDescent="0.2">
      <c r="A39" s="18" t="s">
        <v>14</v>
      </c>
      <c r="B39" s="19">
        <f>C39</f>
        <v>0</v>
      </c>
      <c r="C39" s="19">
        <f>D39</f>
        <v>0</v>
      </c>
      <c r="D39" s="19">
        <f>E39</f>
        <v>0</v>
      </c>
      <c r="E39" s="19">
        <v>0</v>
      </c>
      <c r="F39" s="19"/>
      <c r="G39" s="19"/>
      <c r="H39" s="19"/>
      <c r="I39" s="19"/>
      <c r="J39" s="19"/>
      <c r="K39" s="19"/>
    </row>
    <row r="40" spans="1:14" s="16" customFormat="1" x14ac:dyDescent="0.2">
      <c r="A40" s="18" t="s">
        <v>13</v>
      </c>
      <c r="B40" s="19">
        <v>645.1</v>
      </c>
      <c r="C40" s="19">
        <v>647.83299999999997</v>
      </c>
      <c r="D40" s="19">
        <v>648.375</v>
      </c>
      <c r="E40" s="19">
        <v>650</v>
      </c>
      <c r="F40" s="19"/>
      <c r="G40" s="19"/>
      <c r="H40" s="19"/>
      <c r="I40" s="19"/>
      <c r="J40" s="19"/>
      <c r="K40" s="19"/>
      <c r="L40" s="1"/>
      <c r="M40" s="1"/>
      <c r="N40" s="1"/>
    </row>
    <row r="41" spans="1:14" s="16" customFormat="1" x14ac:dyDescent="0.2">
      <c r="A41" s="18" t="s">
        <v>12</v>
      </c>
      <c r="B41" s="19">
        <f>B39+B40</f>
        <v>645.1</v>
      </c>
      <c r="C41" s="19">
        <f>C39+C40</f>
        <v>647.83299999999997</v>
      </c>
      <c r="D41" s="19">
        <f>D39+D40</f>
        <v>648.375</v>
      </c>
      <c r="E41" s="19">
        <f>E39+E40</f>
        <v>650</v>
      </c>
      <c r="F41" s="19"/>
      <c r="G41" s="19"/>
      <c r="H41" s="19"/>
      <c r="I41" s="19"/>
      <c r="J41" s="19"/>
      <c r="K41" s="19"/>
    </row>
    <row r="42" spans="1:14" s="16" customFormat="1" x14ac:dyDescent="0.2">
      <c r="A42" s="18" t="s">
        <v>11</v>
      </c>
      <c r="B42" s="17">
        <f>C42</f>
        <v>1850</v>
      </c>
      <c r="C42" s="17">
        <f>D42</f>
        <v>1850</v>
      </c>
      <c r="D42" s="17">
        <f>E42</f>
        <v>1850</v>
      </c>
      <c r="E42" s="17">
        <v>1850</v>
      </c>
      <c r="F42" s="17"/>
      <c r="G42" s="17"/>
      <c r="H42" s="17"/>
      <c r="I42" s="17"/>
      <c r="J42" s="17"/>
      <c r="K42" s="17"/>
    </row>
    <row r="43" spans="1:14" x14ac:dyDescent="0.2">
      <c r="B43" s="16"/>
      <c r="C43" s="16"/>
      <c r="D43" s="16"/>
      <c r="E43" s="16"/>
      <c r="F43" s="16"/>
    </row>
    <row r="44" spans="1:14" x14ac:dyDescent="0.2">
      <c r="A44" s="15" t="s">
        <v>10</v>
      </c>
      <c r="B44" s="27">
        <v>6</v>
      </c>
      <c r="C44" s="27">
        <v>36.206000000000003</v>
      </c>
      <c r="D44" s="27">
        <v>57.908999999999999</v>
      </c>
      <c r="E44" s="27">
        <v>22.229399999999998</v>
      </c>
      <c r="F44" s="27"/>
      <c r="G44" s="27"/>
      <c r="H44" s="27"/>
      <c r="I44" s="27"/>
      <c r="J44" s="14"/>
      <c r="K44" s="14"/>
    </row>
    <row r="46" spans="1:14" x14ac:dyDescent="0.2">
      <c r="A46" s="1" t="s">
        <v>9</v>
      </c>
      <c r="B46" s="11">
        <f>SUM(B12:E12)</f>
        <v>286.83356311000006</v>
      </c>
      <c r="C46" s="11">
        <f>SUM(C12:F12)</f>
        <v>297.29856311000003</v>
      </c>
      <c r="D46" s="11">
        <f>SUM(D12:G12)</f>
        <v>324.35000000000002</v>
      </c>
      <c r="E46" s="11">
        <f>SUM(E12:H12)</f>
        <v>343.80757424999996</v>
      </c>
      <c r="F46" s="11"/>
      <c r="G46" s="11"/>
      <c r="H46" s="11"/>
    </row>
    <row r="47" spans="1:14" x14ac:dyDescent="0.2">
      <c r="A47" s="1" t="s">
        <v>8</v>
      </c>
      <c r="B47" s="11">
        <f>+B27</f>
        <v>117.73355426546819</v>
      </c>
      <c r="C47" s="11">
        <f>+C27</f>
        <v>131.62155426546818</v>
      </c>
      <c r="D47" s="11">
        <f>+D27</f>
        <v>155.00000000000006</v>
      </c>
      <c r="E47" s="11">
        <f>+E27</f>
        <v>171.33991523108932</v>
      </c>
      <c r="F47" s="11"/>
      <c r="G47" s="11"/>
      <c r="H47" s="11"/>
    </row>
    <row r="48" spans="1:14" x14ac:dyDescent="0.2">
      <c r="A48" s="1" t="s">
        <v>7</v>
      </c>
      <c r="B48" s="11">
        <f>+SUM(B37:E37)</f>
        <v>47.752569000000001</v>
      </c>
      <c r="C48" s="11">
        <f>+SUM(C37:F37)</f>
        <v>80.548011000000002</v>
      </c>
      <c r="D48" s="11">
        <f>+SUM(D37:G37)</f>
        <v>111.97</v>
      </c>
      <c r="E48" s="11">
        <f>+SUM(E37:H37)</f>
        <v>114.72589500000001</v>
      </c>
      <c r="F48" s="11"/>
      <c r="G48" s="11"/>
      <c r="H48" s="11"/>
    </row>
    <row r="50" spans="1:11" s="10" customFormat="1" x14ac:dyDescent="0.2">
      <c r="A50" s="10" t="s">
        <v>6</v>
      </c>
      <c r="B50" s="10">
        <f>+SUM(B39:B40)/B47</f>
        <v>5.4793215411250937</v>
      </c>
      <c r="C50" s="10">
        <f>+SUM(C39:C40)/C47</f>
        <v>4.9219370156758853</v>
      </c>
      <c r="D50" s="10">
        <f>+SUM(D39:D40)/D47</f>
        <v>4.183064516129031</v>
      </c>
      <c r="E50" s="10">
        <f>+SUM(E39:E40)/E47</f>
        <v>3.7936285839953459</v>
      </c>
    </row>
    <row r="51" spans="1:11" s="10" customFormat="1" x14ac:dyDescent="0.2">
      <c r="A51" s="10" t="s">
        <v>5</v>
      </c>
      <c r="B51" s="10">
        <f>+B41/B47</f>
        <v>5.4793215411250937</v>
      </c>
      <c r="C51" s="10">
        <f>+C41/C47</f>
        <v>4.9219370156758853</v>
      </c>
      <c r="D51" s="10">
        <f>+D41/D47</f>
        <v>4.183064516129031</v>
      </c>
      <c r="E51" s="10">
        <f>+E41/E47</f>
        <v>3.7936285839953459</v>
      </c>
    </row>
    <row r="52" spans="1:11" s="10" customFormat="1" x14ac:dyDescent="0.2">
      <c r="A52" s="10" t="s">
        <v>4</v>
      </c>
      <c r="B52" s="10">
        <f>+(B41-B44)/B47</f>
        <v>5.4283590093521124</v>
      </c>
      <c r="C52" s="10">
        <f>+(C41-C44)/C47</f>
        <v>4.6468604888710425</v>
      </c>
      <c r="D52" s="10">
        <f>+(D41-D44)/D47</f>
        <v>3.8094580645161278</v>
      </c>
      <c r="E52" s="10">
        <f>+(E41-E44)/E47</f>
        <v>3.6638899882337062</v>
      </c>
    </row>
    <row r="53" spans="1:11" s="6" customFormat="1" x14ac:dyDescent="0.2">
      <c r="A53" s="6" t="s">
        <v>3</v>
      </c>
      <c r="B53" s="6">
        <f>+B48/B41</f>
        <v>7.4023514183847464E-2</v>
      </c>
      <c r="C53" s="6">
        <f>+C48/C41</f>
        <v>0.12433452911475644</v>
      </c>
      <c r="D53" s="6">
        <f>+D48/D41</f>
        <v>0.17269327164064005</v>
      </c>
      <c r="E53" s="6">
        <f>+E48/E41</f>
        <v>0.17650137692307694</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21.1418063060215</v>
      </c>
      <c r="C55" s="7">
        <f>IF(C42=0,IF(C54="","","*"&amp;TEXT(C54,"0.0x")),(C41+C42-C44)/C47)</f>
        <v>18.702309160056963</v>
      </c>
      <c r="D55" s="7">
        <f>IF(D42=0,IF(D54="","","*"&amp;TEXT(D54,"0.0x")),(D41+D42-D44)/D47)</f>
        <v>15.744941935483865</v>
      </c>
      <c r="E55" s="7">
        <f>IF(E42=0,IF(E54="","","*"&amp;TEXT(E54,"0.0x")),(E41+E42-E44)/E47)</f>
        <v>14.461140573451228</v>
      </c>
      <c r="F55" s="7"/>
      <c r="G55" s="7"/>
      <c r="H55" s="7"/>
      <c r="I55" s="7"/>
      <c r="J55" s="7" t="str">
        <f t="shared" ref="J55:K55" si="12">IF(J42=0,IF(J54="","",CONCATENATE("* ",J54,"x")),(J41+J42-J44)/J47)</f>
        <v/>
      </c>
      <c r="K55" s="7" t="str">
        <f t="shared" si="12"/>
        <v/>
      </c>
    </row>
    <row r="56" spans="1:11" x14ac:dyDescent="0.2">
      <c r="H56" s="3"/>
    </row>
    <row r="57" spans="1:11" ht="80.25" customHeight="1" x14ac:dyDescent="0.2">
      <c r="A57" s="5" t="s">
        <v>0</v>
      </c>
      <c r="B57" s="4" t="s">
        <v>104</v>
      </c>
      <c r="C57" s="4" t="s">
        <v>104</v>
      </c>
      <c r="D57" s="4" t="s">
        <v>104</v>
      </c>
      <c r="E57" s="4" t="s">
        <v>104</v>
      </c>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ignoredErrors>
    <ignoredError sqref="B46:F51" formulaRange="1"/>
  </ignoredErrors>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2:S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3" width="10.7109375" style="1" customWidth="1"/>
    <col min="14" max="16384" width="9.140625" style="1"/>
  </cols>
  <sheetData>
    <row r="2" spans="1:13" x14ac:dyDescent="0.2">
      <c r="A2" s="34" t="s">
        <v>45</v>
      </c>
      <c r="B2" s="1" t="s">
        <v>355</v>
      </c>
    </row>
    <row r="3" spans="1:13" s="35" customFormat="1" x14ac:dyDescent="0.2">
      <c r="A3" s="36" t="s">
        <v>43</v>
      </c>
      <c r="B3" s="35" t="s">
        <v>356</v>
      </c>
    </row>
    <row r="4" spans="1:13" x14ac:dyDescent="0.2">
      <c r="A4" s="34" t="s">
        <v>41</v>
      </c>
      <c r="B4" s="1" t="s">
        <v>40</v>
      </c>
    </row>
    <row r="5" spans="1:13" x14ac:dyDescent="0.2">
      <c r="A5" s="34" t="s">
        <v>39</v>
      </c>
    </row>
    <row r="6" spans="1:13" x14ac:dyDescent="0.2">
      <c r="A6" s="34" t="s">
        <v>38</v>
      </c>
      <c r="B6" s="1">
        <v>3</v>
      </c>
    </row>
    <row r="7" spans="1:13" x14ac:dyDescent="0.2">
      <c r="A7" s="34" t="s">
        <v>37</v>
      </c>
      <c r="B7" s="1" t="s">
        <v>122</v>
      </c>
    </row>
    <row r="8" spans="1:13" x14ac:dyDescent="0.2">
      <c r="A8" s="34" t="s">
        <v>281</v>
      </c>
      <c r="B8" s="1" t="s">
        <v>357</v>
      </c>
    </row>
    <row r="9" spans="1:13" x14ac:dyDescent="0.2">
      <c r="A9" s="22"/>
    </row>
    <row r="10" spans="1:13" x14ac:dyDescent="0.2">
      <c r="A10" s="22" t="s">
        <v>36</v>
      </c>
      <c r="B10" s="33">
        <v>44196</v>
      </c>
      <c r="C10" s="33">
        <v>44104</v>
      </c>
      <c r="D10" s="33">
        <v>44012</v>
      </c>
      <c r="E10" s="33">
        <v>43921</v>
      </c>
      <c r="F10" s="33">
        <v>43830</v>
      </c>
      <c r="G10" s="33">
        <v>43738</v>
      </c>
      <c r="H10" s="33">
        <v>43646</v>
      </c>
      <c r="I10" s="33">
        <v>43555</v>
      </c>
      <c r="J10" s="33">
        <f>EOMONTH(I10,-3)</f>
        <v>43465</v>
      </c>
      <c r="K10" s="33">
        <f t="shared" ref="K10:M10" si="0">EOMONTH(J10,-3)</f>
        <v>43373</v>
      </c>
      <c r="L10" s="33">
        <f t="shared" si="0"/>
        <v>43281</v>
      </c>
      <c r="M10" s="33">
        <f t="shared" si="0"/>
        <v>43190</v>
      </c>
    </row>
    <row r="12" spans="1:13" x14ac:dyDescent="0.2">
      <c r="A12" s="15" t="s">
        <v>35</v>
      </c>
      <c r="B12" s="19">
        <f>574.941-C12-D12-E12</f>
        <v>161.78800000000007</v>
      </c>
      <c r="C12" s="19">
        <v>155.881</v>
      </c>
      <c r="D12" s="19">
        <v>101.93300000000001</v>
      </c>
      <c r="E12" s="19">
        <v>155.339</v>
      </c>
      <c r="F12" s="19">
        <v>158.21000000000004</v>
      </c>
      <c r="G12" s="19">
        <v>162.38900000000001</v>
      </c>
      <c r="H12" s="19">
        <v>158.11099999999999</v>
      </c>
      <c r="I12" s="19">
        <v>150.81699999999998</v>
      </c>
      <c r="J12" s="19">
        <v>130.10399999999998</v>
      </c>
      <c r="K12" s="19">
        <v>130.30200000000002</v>
      </c>
      <c r="L12" s="19">
        <v>134.24800000000002</v>
      </c>
      <c r="M12" s="19">
        <v>129.74699999999999</v>
      </c>
    </row>
    <row r="13" spans="1:13" s="28" customFormat="1" x14ac:dyDescent="0.2">
      <c r="A13" s="28" t="s">
        <v>34</v>
      </c>
      <c r="B13" s="28">
        <f t="shared" ref="B13:I13" si="1">+B12/F12-1</f>
        <v>2.2615511029644431E-2</v>
      </c>
      <c r="C13" s="28">
        <f t="shared" si="1"/>
        <v>-4.0076606174063611E-2</v>
      </c>
      <c r="D13" s="28">
        <f t="shared" si="1"/>
        <v>-0.35530734736988567</v>
      </c>
      <c r="E13" s="28">
        <f t="shared" si="1"/>
        <v>2.9983357313830838E-2</v>
      </c>
      <c r="F13" s="28">
        <f t="shared" si="1"/>
        <v>0.21602717825739459</v>
      </c>
      <c r="G13" s="28">
        <f t="shared" si="1"/>
        <v>0.24625101686850526</v>
      </c>
      <c r="H13" s="28">
        <f t="shared" si="1"/>
        <v>0.17775311364042645</v>
      </c>
      <c r="I13" s="28">
        <f t="shared" si="1"/>
        <v>0.16239296476989828</v>
      </c>
    </row>
    <row r="14" spans="1:13" s="23" customFormat="1" x14ac:dyDescent="0.2">
      <c r="A14" s="31" t="s">
        <v>33</v>
      </c>
      <c r="B14" s="111" t="s">
        <v>32</v>
      </c>
      <c r="C14" s="111" t="s">
        <v>32</v>
      </c>
      <c r="D14" s="111" t="s">
        <v>32</v>
      </c>
      <c r="E14" s="111" t="s">
        <v>32</v>
      </c>
      <c r="F14" s="111" t="s">
        <v>32</v>
      </c>
      <c r="G14" s="111" t="s">
        <v>32</v>
      </c>
      <c r="H14" s="111" t="s">
        <v>32</v>
      </c>
      <c r="I14" s="111" t="s">
        <v>32</v>
      </c>
      <c r="J14" s="111"/>
      <c r="K14" s="111"/>
      <c r="L14" s="111"/>
      <c r="M14" s="111"/>
    </row>
    <row r="16" spans="1:13" s="22" customFormat="1" x14ac:dyDescent="0.2">
      <c r="A16" s="30" t="s">
        <v>31</v>
      </c>
      <c r="B16" s="29">
        <v>48.942999999999998</v>
      </c>
      <c r="C16" s="29">
        <f>C22-C21-C20-C19</f>
        <v>42.997</v>
      </c>
      <c r="D16" s="29">
        <v>16.14200000000001</v>
      </c>
      <c r="E16" s="29">
        <v>37.781000000000006</v>
      </c>
      <c r="F16" s="29">
        <v>35.460999999999999</v>
      </c>
      <c r="G16" s="29">
        <v>40.313999999999972</v>
      </c>
      <c r="H16" s="29">
        <v>4.913999999999997</v>
      </c>
      <c r="I16" s="29">
        <v>38.239999999999981</v>
      </c>
      <c r="J16" s="29">
        <v>12.933999999999985</v>
      </c>
      <c r="K16" s="29">
        <v>25.295000000000023</v>
      </c>
      <c r="L16" s="29">
        <v>32.764000000000017</v>
      </c>
      <c r="M16" s="29">
        <v>32.211999999999996</v>
      </c>
    </row>
    <row r="17" spans="1:13" s="28" customFormat="1" x14ac:dyDescent="0.2">
      <c r="A17" s="28" t="s">
        <v>30</v>
      </c>
      <c r="B17" s="28">
        <f t="shared" ref="B17" si="2">+B16/B12</f>
        <v>0.30251316537691286</v>
      </c>
      <c r="C17" s="28">
        <f t="shared" ref="C17:E17" si="3">+C16/C12</f>
        <v>0.27583220533612179</v>
      </c>
      <c r="D17" s="28">
        <f t="shared" si="3"/>
        <v>0.1583589220370244</v>
      </c>
      <c r="E17" s="28">
        <f t="shared" si="3"/>
        <v>0.2432164491853302</v>
      </c>
      <c r="F17" s="28">
        <f t="shared" ref="F17:G17" si="4">+F16/F12</f>
        <v>0.22413880285696219</v>
      </c>
      <c r="G17" s="28">
        <f t="shared" si="4"/>
        <v>0.24825573160743628</v>
      </c>
      <c r="H17" s="28">
        <f t="shared" ref="H17:I17" si="5">+H16/H12</f>
        <v>3.1079431538602612E-2</v>
      </c>
      <c r="I17" s="28">
        <f t="shared" si="5"/>
        <v>0.25355231837259717</v>
      </c>
      <c r="J17" s="28">
        <f t="shared" ref="J17:M17" si="6">+J16/J12</f>
        <v>9.9412777470331323E-2</v>
      </c>
      <c r="K17" s="28">
        <f t="shared" si="6"/>
        <v>0.19412595355405152</v>
      </c>
      <c r="L17" s="28">
        <f t="shared" si="6"/>
        <v>0.2440557773672607</v>
      </c>
      <c r="M17" s="28">
        <f t="shared" si="6"/>
        <v>0.24826778268476343</v>
      </c>
    </row>
    <row r="18" spans="1:13" s="23" customFormat="1" x14ac:dyDescent="0.2"/>
    <row r="19" spans="1:13" s="23" customFormat="1" x14ac:dyDescent="0.2">
      <c r="A19" s="15" t="s">
        <v>29</v>
      </c>
      <c r="B19" s="19">
        <v>0</v>
      </c>
      <c r="C19" s="19">
        <v>0</v>
      </c>
      <c r="D19" s="19">
        <v>0</v>
      </c>
      <c r="E19" s="19">
        <v>0</v>
      </c>
      <c r="F19" s="19">
        <v>0</v>
      </c>
      <c r="G19" s="19">
        <v>0</v>
      </c>
      <c r="H19" s="19">
        <v>0</v>
      </c>
      <c r="I19" s="19">
        <v>0</v>
      </c>
      <c r="J19" s="19">
        <v>0</v>
      </c>
      <c r="K19" s="19">
        <v>0</v>
      </c>
      <c r="L19" s="19">
        <v>0</v>
      </c>
      <c r="M19" s="19">
        <v>0</v>
      </c>
    </row>
    <row r="20" spans="1:13" s="23" customFormat="1" x14ac:dyDescent="0.2">
      <c r="A20" s="15" t="s">
        <v>28</v>
      </c>
      <c r="B20" s="19">
        <v>0</v>
      </c>
      <c r="C20" s="19">
        <v>0</v>
      </c>
      <c r="D20" s="19">
        <v>0</v>
      </c>
      <c r="E20" s="19">
        <v>0</v>
      </c>
      <c r="F20" s="19">
        <v>0</v>
      </c>
      <c r="G20" s="19">
        <v>0</v>
      </c>
      <c r="H20" s="19">
        <v>0</v>
      </c>
      <c r="I20" s="19">
        <v>0</v>
      </c>
      <c r="J20" s="19">
        <v>0</v>
      </c>
      <c r="K20" s="19">
        <v>0</v>
      </c>
      <c r="L20" s="19">
        <v>0</v>
      </c>
      <c r="M20" s="19">
        <v>0</v>
      </c>
    </row>
    <row r="21" spans="1:13" s="23" customFormat="1" x14ac:dyDescent="0.2">
      <c r="A21" s="15" t="s">
        <v>18</v>
      </c>
      <c r="B21" s="19">
        <v>0</v>
      </c>
      <c r="C21" s="19">
        <v>0</v>
      </c>
      <c r="D21" s="19">
        <f>D22-D16-D19-D20</f>
        <v>12.490999999999989</v>
      </c>
      <c r="E21" s="19">
        <f>E22-E16-E19-E20</f>
        <v>2.8289999999999935</v>
      </c>
      <c r="F21" s="19">
        <v>0</v>
      </c>
      <c r="G21" s="19">
        <v>3.2580000000000311</v>
      </c>
      <c r="H21" s="19">
        <v>38.329000000000008</v>
      </c>
      <c r="I21" s="19">
        <v>3.5600000000000165</v>
      </c>
      <c r="J21" s="19">
        <v>20.509999999999941</v>
      </c>
      <c r="K21" s="19">
        <v>11.242999999999974</v>
      </c>
      <c r="L21" s="19">
        <v>8.3029999999999831</v>
      </c>
      <c r="M21" s="19">
        <v>2.2980000000000018</v>
      </c>
    </row>
    <row r="22" spans="1:13" s="22" customFormat="1" x14ac:dyDescent="0.2">
      <c r="A22" s="22" t="s">
        <v>23</v>
      </c>
      <c r="B22" s="20">
        <f>B16+B19+B20+B21</f>
        <v>48.942999999999998</v>
      </c>
      <c r="C22" s="20">
        <v>42.997</v>
      </c>
      <c r="D22" s="20">
        <v>28.632999999999999</v>
      </c>
      <c r="E22" s="20">
        <v>40.61</v>
      </c>
      <c r="F22" s="20">
        <f>F16+F19+F20+F21</f>
        <v>35.460999999999999</v>
      </c>
      <c r="G22" s="20">
        <f t="shared" ref="G22" si="7">SUM(G16,G19:G21)</f>
        <v>43.572000000000003</v>
      </c>
      <c r="H22" s="20">
        <f t="shared" ref="H22:I22" si="8">SUM(H16,H19:H21)</f>
        <v>43.243000000000002</v>
      </c>
      <c r="I22" s="20">
        <f t="shared" si="8"/>
        <v>41.8</v>
      </c>
      <c r="J22" s="20">
        <f t="shared" ref="J22:M22" si="9">SUM(J16,J19:J21)</f>
        <v>33.443999999999924</v>
      </c>
      <c r="K22" s="20">
        <f t="shared" si="9"/>
        <v>36.537999999999997</v>
      </c>
      <c r="L22" s="20">
        <f t="shared" si="9"/>
        <v>41.067</v>
      </c>
      <c r="M22" s="20">
        <f t="shared" si="9"/>
        <v>34.51</v>
      </c>
    </row>
    <row r="23" spans="1:13" s="22" customFormat="1" x14ac:dyDescent="0.2">
      <c r="B23" s="28"/>
      <c r="C23" s="28"/>
      <c r="D23" s="28"/>
      <c r="E23" s="28"/>
      <c r="F23" s="28"/>
      <c r="G23" s="28"/>
      <c r="H23" s="28"/>
      <c r="I23" s="28"/>
      <c r="J23" s="20"/>
      <c r="K23" s="20"/>
      <c r="L23" s="20"/>
      <c r="M23" s="20"/>
    </row>
    <row r="24" spans="1:13" s="22" customFormat="1" x14ac:dyDescent="0.2">
      <c r="A24" s="22" t="s">
        <v>27</v>
      </c>
      <c r="B24" s="20">
        <f t="shared" ref="B24:J24" si="10">SUM(B22:E22)</f>
        <v>161.18299999999999</v>
      </c>
      <c r="C24" s="20">
        <f t="shared" si="10"/>
        <v>147.70099999999999</v>
      </c>
      <c r="D24" s="20">
        <f t="shared" si="10"/>
        <v>148.27600000000001</v>
      </c>
      <c r="E24" s="20">
        <f t="shared" si="10"/>
        <v>162.886</v>
      </c>
      <c r="F24" s="20">
        <f t="shared" si="10"/>
        <v>164.07600000000002</v>
      </c>
      <c r="G24" s="20">
        <f t="shared" si="10"/>
        <v>162.05899999999994</v>
      </c>
      <c r="H24" s="20">
        <f t="shared" si="10"/>
        <v>155.02499999999992</v>
      </c>
      <c r="I24" s="20">
        <f t="shared" si="10"/>
        <v>152.8489999999999</v>
      </c>
      <c r="J24" s="20">
        <f t="shared" si="10"/>
        <v>145.55899999999991</v>
      </c>
      <c r="K24" s="20"/>
      <c r="L24" s="20"/>
      <c r="M24" s="20"/>
    </row>
    <row r="25" spans="1:13" s="23" customFormat="1" x14ac:dyDescent="0.2">
      <c r="A25" s="15" t="s">
        <v>26</v>
      </c>
      <c r="B25" s="27">
        <f>160.766466-B24</f>
        <v>-0.41653399999998442</v>
      </c>
      <c r="C25" s="27">
        <f>151.2-C24</f>
        <v>3.4989999999999952</v>
      </c>
      <c r="D25" s="27">
        <f>153.801111-D24</f>
        <v>5.5251109999999812</v>
      </c>
      <c r="E25" s="27">
        <v>0</v>
      </c>
      <c r="F25" s="27">
        <v>0</v>
      </c>
      <c r="G25" s="27">
        <f>165.999731-G24</f>
        <v>3.9407310000000564</v>
      </c>
      <c r="H25" s="27">
        <f>155.143-H24</f>
        <v>0.11800000000008026</v>
      </c>
      <c r="I25" s="27">
        <v>0</v>
      </c>
      <c r="J25" s="27">
        <v>0</v>
      </c>
      <c r="K25" s="27"/>
      <c r="L25" s="27"/>
      <c r="M25" s="27"/>
    </row>
    <row r="26" spans="1:13" s="23" customFormat="1" x14ac:dyDescent="0.2">
      <c r="A26" s="15" t="s">
        <v>25</v>
      </c>
      <c r="B26" s="21">
        <v>0</v>
      </c>
      <c r="C26" s="21">
        <f>154.523289-C25-C24</f>
        <v>3.3232890000000168</v>
      </c>
      <c r="D26" s="21">
        <v>0</v>
      </c>
      <c r="E26" s="21">
        <v>0</v>
      </c>
      <c r="F26" s="21">
        <v>0</v>
      </c>
      <c r="G26" s="21">
        <v>0</v>
      </c>
      <c r="H26" s="21">
        <v>0</v>
      </c>
      <c r="I26" s="21">
        <v>0</v>
      </c>
      <c r="J26" s="21">
        <v>0</v>
      </c>
      <c r="K26" s="21"/>
      <c r="L26" s="21"/>
      <c r="M26" s="21"/>
    </row>
    <row r="27" spans="1:13" s="24" customFormat="1" x14ac:dyDescent="0.2">
      <c r="A27" s="22" t="s">
        <v>24</v>
      </c>
      <c r="B27" s="20">
        <f t="shared" ref="B27:C27" si="11">SUM(B24:B26)</f>
        <v>160.76646600000001</v>
      </c>
      <c r="C27" s="20">
        <f t="shared" si="11"/>
        <v>154.52328900000001</v>
      </c>
      <c r="D27" s="20">
        <f t="shared" ref="D27:I27" si="12">SUM(D24:D26)</f>
        <v>153.80111099999999</v>
      </c>
      <c r="E27" s="20">
        <f t="shared" si="12"/>
        <v>162.886</v>
      </c>
      <c r="F27" s="20">
        <f t="shared" si="12"/>
        <v>164.07600000000002</v>
      </c>
      <c r="G27" s="20">
        <f t="shared" si="12"/>
        <v>165.999731</v>
      </c>
      <c r="H27" s="20">
        <f t="shared" si="12"/>
        <v>155.143</v>
      </c>
      <c r="I27" s="20">
        <f t="shared" si="12"/>
        <v>152.8489999999999</v>
      </c>
      <c r="J27" s="20">
        <f t="shared" ref="J27" si="13">SUM(J24:J26)</f>
        <v>145.55899999999991</v>
      </c>
      <c r="K27" s="20"/>
      <c r="L27" s="20"/>
      <c r="M27" s="20"/>
    </row>
    <row r="28" spans="1:13" s="23" customFormat="1" x14ac:dyDescent="0.2"/>
    <row r="29" spans="1:13" s="22" customFormat="1" x14ac:dyDescent="0.2">
      <c r="A29" s="22" t="s">
        <v>23</v>
      </c>
      <c r="B29" s="20">
        <f t="shared" ref="B29:D29" si="14">B22</f>
        <v>48.942999999999998</v>
      </c>
      <c r="C29" s="20">
        <f t="shared" si="14"/>
        <v>42.997</v>
      </c>
      <c r="D29" s="20">
        <f t="shared" si="14"/>
        <v>28.632999999999999</v>
      </c>
      <c r="E29" s="20">
        <f t="shared" ref="E29:H29" si="15">E22</f>
        <v>40.61</v>
      </c>
      <c r="F29" s="20">
        <f t="shared" si="15"/>
        <v>35.460999999999999</v>
      </c>
      <c r="G29" s="20">
        <f t="shared" si="15"/>
        <v>43.572000000000003</v>
      </c>
      <c r="H29" s="20">
        <f t="shared" si="15"/>
        <v>43.243000000000002</v>
      </c>
      <c r="I29" s="20">
        <f t="shared" ref="I29:M29" si="16">I22</f>
        <v>41.8</v>
      </c>
      <c r="J29" s="20">
        <f t="shared" si="16"/>
        <v>33.443999999999924</v>
      </c>
      <c r="K29" s="20">
        <f t="shared" si="16"/>
        <v>36.537999999999997</v>
      </c>
      <c r="L29" s="20">
        <f t="shared" si="16"/>
        <v>41.067</v>
      </c>
      <c r="M29" s="20">
        <f t="shared" si="16"/>
        <v>34.51</v>
      </c>
    </row>
    <row r="30" spans="1:13" s="11" customFormat="1" x14ac:dyDescent="0.2">
      <c r="A30" s="19" t="s">
        <v>22</v>
      </c>
      <c r="B30" s="19">
        <f>-56.669-C30-D30-E30</f>
        <v>-7.1869999999999941</v>
      </c>
      <c r="C30" s="19">
        <v>-15.952999999999999</v>
      </c>
      <c r="D30" s="19">
        <v>-16.308</v>
      </c>
      <c r="E30" s="19">
        <v>-17.221</v>
      </c>
      <c r="F30" s="19">
        <v>-11.332000000000001</v>
      </c>
      <c r="G30" s="19">
        <v>-19.097999999999999</v>
      </c>
      <c r="H30" s="19">
        <v>-16.507000000000001</v>
      </c>
      <c r="I30" s="19">
        <v>-14.114000000000001</v>
      </c>
      <c r="J30" s="19">
        <v>-7.2989999999999995</v>
      </c>
      <c r="K30" s="19">
        <v>-11.813000000000001</v>
      </c>
      <c r="L30" s="19">
        <v>-11.61</v>
      </c>
      <c r="M30" s="19">
        <v>-10.601000000000001</v>
      </c>
    </row>
    <row r="31" spans="1:13" s="11" customFormat="1" x14ac:dyDescent="0.2">
      <c r="A31" s="19" t="s">
        <v>21</v>
      </c>
      <c r="B31" s="19">
        <f>7.437-C31-D31-E31</f>
        <v>10.175000000000001</v>
      </c>
      <c r="C31" s="19">
        <v>-7.1459999999999999</v>
      </c>
      <c r="D31" s="19">
        <v>2.903</v>
      </c>
      <c r="E31" s="19">
        <v>1.5049999999999999</v>
      </c>
      <c r="F31" s="19">
        <v>-5.1100000000000003</v>
      </c>
      <c r="G31" s="19">
        <v>-1.3819999999999999</v>
      </c>
      <c r="H31" s="19">
        <v>8.923</v>
      </c>
      <c r="I31" s="19">
        <v>-4.0789999999999997</v>
      </c>
      <c r="J31" s="19">
        <v>1.468</v>
      </c>
      <c r="K31" s="19">
        <v>-0.90100000000000002</v>
      </c>
      <c r="L31" s="19">
        <v>-3.02</v>
      </c>
      <c r="M31" s="19">
        <v>-3.254</v>
      </c>
    </row>
    <row r="32" spans="1:13" s="11" customFormat="1" x14ac:dyDescent="0.2">
      <c r="A32" s="19" t="s">
        <v>20</v>
      </c>
      <c r="B32" s="19">
        <f>0.513+0.935-0.282+5.456-2.813+4.844-30.784-4.297-C32-D32-E32</f>
        <v>-44.219000000000001</v>
      </c>
      <c r="C32" s="19">
        <f>0.357-0.815+0.206+0.24+6.463+7.082+1.942-19.858+1.332</f>
        <v>-3.0509999999999993</v>
      </c>
      <c r="D32" s="19">
        <v>20.841999999999999</v>
      </c>
      <c r="E32" s="19">
        <v>0</v>
      </c>
      <c r="F32" s="19">
        <v>-2.0140000000000029</v>
      </c>
      <c r="G32" s="19">
        <f>3.33+0.62-1.186+3.202-1.122+2.316+2.426-6.145-0.052</f>
        <v>3.3890000000000007</v>
      </c>
      <c r="H32" s="19">
        <v>12.348000000000001</v>
      </c>
      <c r="I32" s="19">
        <v>-5.5459999999999994</v>
      </c>
      <c r="J32" s="19">
        <v>6.7689999999999948</v>
      </c>
      <c r="K32" s="19">
        <v>-1.492</v>
      </c>
      <c r="L32" s="19">
        <v>8.9830000000000023</v>
      </c>
      <c r="M32" s="19">
        <v>3.2009999999999996</v>
      </c>
    </row>
    <row r="33" spans="1:19" s="11" customFormat="1" x14ac:dyDescent="0.2">
      <c r="A33" s="19" t="s">
        <v>19</v>
      </c>
      <c r="B33" s="19">
        <f t="shared" ref="B33" si="17">-B19-B20-B21</f>
        <v>0</v>
      </c>
      <c r="C33" s="19">
        <f t="shared" ref="C33:E33" si="18">-C19-C20-C21</f>
        <v>0</v>
      </c>
      <c r="D33" s="19">
        <f t="shared" si="18"/>
        <v>-12.490999999999989</v>
      </c>
      <c r="E33" s="19">
        <f t="shared" si="18"/>
        <v>-2.8289999999999935</v>
      </c>
      <c r="F33" s="19">
        <f t="shared" ref="F33" si="19">-F19-F20-F21</f>
        <v>0</v>
      </c>
      <c r="G33" s="19">
        <f t="shared" ref="G33:M33" si="20">-G19-G20-G21</f>
        <v>-3.2580000000000311</v>
      </c>
      <c r="H33" s="19">
        <f t="shared" si="20"/>
        <v>-38.329000000000008</v>
      </c>
      <c r="I33" s="19">
        <f t="shared" si="20"/>
        <v>-3.5600000000000165</v>
      </c>
      <c r="J33" s="19">
        <f t="shared" si="20"/>
        <v>-20.509999999999941</v>
      </c>
      <c r="K33" s="19">
        <f t="shared" si="20"/>
        <v>-11.242999999999974</v>
      </c>
      <c r="L33" s="19">
        <f t="shared" si="20"/>
        <v>-8.3029999999999831</v>
      </c>
      <c r="M33" s="19">
        <f t="shared" si="20"/>
        <v>-2.2980000000000018</v>
      </c>
    </row>
    <row r="34" spans="1:19" s="11" customFormat="1" x14ac:dyDescent="0.2">
      <c r="A34" s="19" t="s">
        <v>18</v>
      </c>
      <c r="B34" s="21">
        <f t="shared" ref="B34" si="21">B35-B29-B30-B31-B32-B33</f>
        <v>28.126999999999995</v>
      </c>
      <c r="C34" s="21">
        <f t="shared" ref="C34:E34" si="22">C35-C29-C30-C31-C32-C33</f>
        <v>16.433</v>
      </c>
      <c r="D34" s="21">
        <f t="shared" si="22"/>
        <v>-0.15300000000001113</v>
      </c>
      <c r="E34" s="21">
        <f t="shared" si="22"/>
        <v>-12.764000000000003</v>
      </c>
      <c r="F34" s="21">
        <f t="shared" ref="F34" si="23">F35-F29-F30-F31-F32-F33</f>
        <v>11.801000000000002</v>
      </c>
      <c r="G34" s="21">
        <f t="shared" ref="G34:M34" si="24">G35-G29-G30-G31-G32-G33</f>
        <v>1.9920000000000262</v>
      </c>
      <c r="H34" s="21">
        <f t="shared" si="24"/>
        <v>-8.9659999999999869</v>
      </c>
      <c r="I34" s="21">
        <f t="shared" si="24"/>
        <v>0.83800000000001873</v>
      </c>
      <c r="J34" s="21">
        <f t="shared" si="24"/>
        <v>1.275000000000027</v>
      </c>
      <c r="K34" s="21">
        <f t="shared" si="24"/>
        <v>2.273999999999976</v>
      </c>
      <c r="L34" s="21">
        <f t="shared" si="24"/>
        <v>1.3119999999999781</v>
      </c>
      <c r="M34" s="21">
        <f t="shared" si="24"/>
        <v>1.3250000000000042</v>
      </c>
    </row>
    <row r="35" spans="1:19" s="20" customFormat="1" x14ac:dyDescent="0.2">
      <c r="A35" s="20" t="s">
        <v>17</v>
      </c>
      <c r="B35" s="20">
        <f>101.846-C35-D35-E35</f>
        <v>35.838999999999999</v>
      </c>
      <c r="C35" s="20">
        <v>33.28</v>
      </c>
      <c r="D35" s="20">
        <v>23.425999999999998</v>
      </c>
      <c r="E35" s="20">
        <v>9.3010000000000002</v>
      </c>
      <c r="F35" s="20">
        <v>28.805999999999997</v>
      </c>
      <c r="G35" s="20">
        <v>25.215</v>
      </c>
      <c r="H35" s="20">
        <v>0.71199999999999997</v>
      </c>
      <c r="I35" s="20">
        <v>15.339</v>
      </c>
      <c r="J35" s="20">
        <v>15.147000000000006</v>
      </c>
      <c r="K35" s="20">
        <v>13.363</v>
      </c>
      <c r="L35" s="20">
        <v>28.428999999999998</v>
      </c>
      <c r="M35" s="20">
        <v>22.882999999999999</v>
      </c>
    </row>
    <row r="36" spans="1:19" s="11" customFormat="1" x14ac:dyDescent="0.2">
      <c r="A36" s="19" t="s">
        <v>16</v>
      </c>
      <c r="B36" s="21">
        <f>-58.744-C36-D36-E36</f>
        <v>6.7490000000000006</v>
      </c>
      <c r="C36" s="21">
        <v>-41.158000000000001</v>
      </c>
      <c r="D36" s="21">
        <v>-10.561</v>
      </c>
      <c r="E36" s="21">
        <v>-13.773999999999999</v>
      </c>
      <c r="F36" s="21">
        <v>-25.313000000000002</v>
      </c>
      <c r="G36" s="21">
        <v>-20.100999999999999</v>
      </c>
      <c r="H36" s="21">
        <v>-21.265000000000001</v>
      </c>
      <c r="I36" s="21">
        <v>-7.9009999999999998</v>
      </c>
      <c r="J36" s="21">
        <v>-10.003</v>
      </c>
      <c r="K36" s="21">
        <v>-11.551</v>
      </c>
      <c r="L36" s="21">
        <v>-11.603</v>
      </c>
      <c r="M36" s="21">
        <v>-10.801</v>
      </c>
    </row>
    <row r="37" spans="1:19" s="20" customFormat="1" x14ac:dyDescent="0.2">
      <c r="A37" s="20" t="s">
        <v>15</v>
      </c>
      <c r="B37" s="20">
        <f t="shared" ref="B37:M37" si="25">B35+B36</f>
        <v>42.588000000000001</v>
      </c>
      <c r="C37" s="20">
        <f t="shared" si="25"/>
        <v>-7.8780000000000001</v>
      </c>
      <c r="D37" s="20">
        <f t="shared" si="25"/>
        <v>12.864999999999998</v>
      </c>
      <c r="E37" s="20">
        <f t="shared" si="25"/>
        <v>-4.472999999999999</v>
      </c>
      <c r="F37" s="20">
        <f t="shared" si="25"/>
        <v>3.492999999999995</v>
      </c>
      <c r="G37" s="20">
        <f t="shared" si="25"/>
        <v>5.1140000000000008</v>
      </c>
      <c r="H37" s="20">
        <f t="shared" si="25"/>
        <v>-20.553000000000001</v>
      </c>
      <c r="I37" s="20">
        <f t="shared" si="25"/>
        <v>7.4380000000000006</v>
      </c>
      <c r="J37" s="20">
        <f t="shared" si="25"/>
        <v>5.1440000000000055</v>
      </c>
      <c r="K37" s="20">
        <f t="shared" si="25"/>
        <v>1.8119999999999994</v>
      </c>
      <c r="L37" s="20">
        <f t="shared" si="25"/>
        <v>16.826000000000001</v>
      </c>
      <c r="M37" s="20">
        <f t="shared" si="25"/>
        <v>12.081999999999999</v>
      </c>
    </row>
    <row r="38" spans="1:19" x14ac:dyDescent="0.2">
      <c r="S38" s="69"/>
    </row>
    <row r="39" spans="1:19" s="16" customFormat="1" x14ac:dyDescent="0.2">
      <c r="A39" s="18" t="s">
        <v>14</v>
      </c>
      <c r="B39" s="19">
        <v>0</v>
      </c>
      <c r="C39" s="19">
        <v>0</v>
      </c>
      <c r="D39" s="19">
        <v>0</v>
      </c>
      <c r="E39" s="19">
        <v>133.06021899999996</v>
      </c>
      <c r="F39" s="19">
        <v>14</v>
      </c>
      <c r="G39" s="19">
        <v>0</v>
      </c>
      <c r="H39" s="19">
        <v>0</v>
      </c>
      <c r="I39" s="19">
        <v>0</v>
      </c>
      <c r="J39" s="19"/>
      <c r="K39" s="19"/>
      <c r="L39" s="19"/>
      <c r="M39" s="19"/>
    </row>
    <row r="40" spans="1:19" s="16" customFormat="1" x14ac:dyDescent="0.2">
      <c r="A40" s="18" t="s">
        <v>13</v>
      </c>
      <c r="B40" s="19">
        <f>709.725332+B44</f>
        <v>824.37233200000003</v>
      </c>
      <c r="C40" s="19">
        <f>771.304396+C44</f>
        <v>829.7</v>
      </c>
      <c r="D40" s="19">
        <v>831.8</v>
      </c>
      <c r="E40" s="19">
        <v>794.01</v>
      </c>
      <c r="F40" s="19">
        <v>796</v>
      </c>
      <c r="G40" s="19">
        <v>808.57299999999998</v>
      </c>
      <c r="H40" s="19">
        <v>811.41300000000001</v>
      </c>
      <c r="I40" s="19">
        <v>810.8</v>
      </c>
      <c r="J40" s="19"/>
      <c r="K40" s="19"/>
      <c r="L40" s="19"/>
      <c r="M40" s="19"/>
    </row>
    <row r="41" spans="1:19" s="16" customFormat="1" x14ac:dyDescent="0.2">
      <c r="A41" s="18" t="s">
        <v>12</v>
      </c>
      <c r="B41" s="19">
        <f>968.81117+B44</f>
        <v>1083.4581699999999</v>
      </c>
      <c r="C41" s="19">
        <v>1080.4084740000001</v>
      </c>
      <c r="D41" s="19">
        <f>D39+D40+242.673+0.967</f>
        <v>1075.44</v>
      </c>
      <c r="E41" s="19">
        <f>E39+E40+225</f>
        <v>1152.070219</v>
      </c>
      <c r="F41" s="19">
        <f>F39+F40+225</f>
        <v>1035</v>
      </c>
      <c r="G41" s="19">
        <f>G39+G40+225</f>
        <v>1033.5729999999999</v>
      </c>
      <c r="H41" s="19">
        <f>H39+H40+225</f>
        <v>1036.413</v>
      </c>
      <c r="I41" s="19">
        <f>I39+I40+225</f>
        <v>1035.8</v>
      </c>
      <c r="J41" s="19"/>
      <c r="K41" s="19"/>
      <c r="L41" s="19"/>
      <c r="M41" s="19"/>
    </row>
    <row r="42" spans="1:19" s="16" customFormat="1" x14ac:dyDescent="0.2">
      <c r="A42" s="18" t="s">
        <v>11</v>
      </c>
      <c r="B42" s="17">
        <v>221.5</v>
      </c>
      <c r="C42" s="17">
        <v>221.5</v>
      </c>
      <c r="D42" s="17">
        <v>221.5</v>
      </c>
      <c r="E42" s="17">
        <v>221.5</v>
      </c>
      <c r="F42" s="17">
        <v>221.5</v>
      </c>
      <c r="G42" s="17">
        <v>221.5</v>
      </c>
      <c r="H42" s="17">
        <v>221.5</v>
      </c>
      <c r="I42" s="17">
        <v>221.5</v>
      </c>
      <c r="J42" s="17"/>
      <c r="K42" s="17"/>
      <c r="L42" s="17"/>
      <c r="M42" s="17"/>
    </row>
    <row r="43" spans="1:19" x14ac:dyDescent="0.2">
      <c r="B43" s="16"/>
      <c r="C43" s="16"/>
      <c r="D43" s="16"/>
      <c r="E43" s="16"/>
      <c r="F43" s="16"/>
      <c r="G43" s="16"/>
      <c r="H43" s="16"/>
      <c r="I43" s="16"/>
      <c r="J43" s="16"/>
      <c r="K43" s="16"/>
    </row>
    <row r="44" spans="1:19" x14ac:dyDescent="0.2">
      <c r="A44" s="15" t="s">
        <v>10</v>
      </c>
      <c r="B44" s="27">
        <v>114.64700000000001</v>
      </c>
      <c r="C44" s="27">
        <v>58.395603999999999</v>
      </c>
      <c r="D44" s="27">
        <v>55</v>
      </c>
      <c r="E44" s="27">
        <v>105.355</v>
      </c>
      <c r="F44" s="27">
        <v>6.4050000000000002</v>
      </c>
      <c r="G44" s="27">
        <v>31.623000000000001</v>
      </c>
      <c r="H44" s="27">
        <v>21.541</v>
      </c>
      <c r="I44" s="27">
        <v>2.6</v>
      </c>
      <c r="J44" s="27"/>
      <c r="K44" s="27"/>
      <c r="L44" s="27"/>
      <c r="M44" s="27"/>
    </row>
    <row r="46" spans="1:19" x14ac:dyDescent="0.2">
      <c r="A46" s="1" t="s">
        <v>9</v>
      </c>
      <c r="B46" s="13">
        <f t="shared" ref="B46:I46" si="26">SUM(B12:E12)</f>
        <v>574.94100000000003</v>
      </c>
      <c r="C46" s="13">
        <f t="shared" si="26"/>
        <v>571.36300000000006</v>
      </c>
      <c r="D46" s="13">
        <f t="shared" si="26"/>
        <v>577.87100000000009</v>
      </c>
      <c r="E46" s="13">
        <f t="shared" si="26"/>
        <v>634.04899999999998</v>
      </c>
      <c r="F46" s="13">
        <f t="shared" si="26"/>
        <v>629.52700000000004</v>
      </c>
      <c r="G46" s="13">
        <f t="shared" si="26"/>
        <v>601.42100000000005</v>
      </c>
      <c r="H46" s="13">
        <f t="shared" si="26"/>
        <v>569.33400000000006</v>
      </c>
      <c r="I46" s="13">
        <f t="shared" si="26"/>
        <v>545.471</v>
      </c>
      <c r="J46" s="11"/>
      <c r="K46" s="11"/>
      <c r="L46" s="11"/>
      <c r="M46" s="11"/>
    </row>
    <row r="47" spans="1:19" x14ac:dyDescent="0.2">
      <c r="A47" s="1" t="s">
        <v>8</v>
      </c>
      <c r="B47" s="13">
        <f t="shared" ref="B47:C47" si="27">B27</f>
        <v>160.76646600000001</v>
      </c>
      <c r="C47" s="13">
        <f t="shared" si="27"/>
        <v>154.52328900000001</v>
      </c>
      <c r="D47" s="13">
        <f t="shared" ref="D47:I47" si="28">D27</f>
        <v>153.80111099999999</v>
      </c>
      <c r="E47" s="13">
        <f t="shared" si="28"/>
        <v>162.886</v>
      </c>
      <c r="F47" s="13">
        <f t="shared" si="28"/>
        <v>164.07600000000002</v>
      </c>
      <c r="G47" s="13">
        <f t="shared" si="28"/>
        <v>165.999731</v>
      </c>
      <c r="H47" s="13">
        <f t="shared" si="28"/>
        <v>155.143</v>
      </c>
      <c r="I47" s="13">
        <f t="shared" si="28"/>
        <v>152.8489999999999</v>
      </c>
      <c r="J47" s="11"/>
      <c r="K47" s="11"/>
      <c r="L47" s="11"/>
      <c r="M47" s="11"/>
    </row>
    <row r="48" spans="1:19" x14ac:dyDescent="0.2">
      <c r="A48" s="1" t="s">
        <v>7</v>
      </c>
      <c r="B48" s="13">
        <f t="shared" ref="B48:I48" si="29">SUM(B37:E37)</f>
        <v>43.102000000000004</v>
      </c>
      <c r="C48" s="13">
        <f t="shared" si="29"/>
        <v>4.0069999999999943</v>
      </c>
      <c r="D48" s="13">
        <f t="shared" si="29"/>
        <v>16.998999999999995</v>
      </c>
      <c r="E48" s="13">
        <f t="shared" si="29"/>
        <v>-16.419000000000004</v>
      </c>
      <c r="F48" s="13">
        <f t="shared" si="29"/>
        <v>-4.5080000000000044</v>
      </c>
      <c r="G48" s="13">
        <f t="shared" si="29"/>
        <v>-2.856999999999994</v>
      </c>
      <c r="H48" s="13">
        <f t="shared" si="29"/>
        <v>-6.1589999999999954</v>
      </c>
      <c r="I48" s="13">
        <f t="shared" si="29"/>
        <v>31.220000000000006</v>
      </c>
      <c r="J48" s="11"/>
      <c r="K48" s="11"/>
      <c r="L48" s="11"/>
      <c r="M48" s="11"/>
    </row>
    <row r="50" spans="1:13" s="10" customFormat="1" x14ac:dyDescent="0.2">
      <c r="A50" s="10" t="s">
        <v>6</v>
      </c>
      <c r="B50" s="10">
        <f t="shared" ref="B50:C50" si="30">+SUM(B39:B40)/B47</f>
        <v>5.127762975146819</v>
      </c>
      <c r="C50" s="10">
        <f t="shared" si="30"/>
        <v>5.3694171627423746</v>
      </c>
      <c r="D50" s="10">
        <f t="shared" ref="D50:I50" si="31">+SUM(D39:D40)/D47</f>
        <v>5.4082834291099493</v>
      </c>
      <c r="E50" s="10">
        <f t="shared" si="31"/>
        <v>5.691527933646845</v>
      </c>
      <c r="F50" s="10">
        <f t="shared" si="31"/>
        <v>4.9367366342426671</v>
      </c>
      <c r="G50" s="10">
        <f t="shared" si="31"/>
        <v>4.8709295800003432</v>
      </c>
      <c r="H50" s="10">
        <f t="shared" si="31"/>
        <v>5.2300973940171325</v>
      </c>
      <c r="I50" s="10">
        <f t="shared" si="31"/>
        <v>5.3045816459381507</v>
      </c>
    </row>
    <row r="51" spans="1:13" s="10" customFormat="1" x14ac:dyDescent="0.2">
      <c r="A51" s="10" t="s">
        <v>5</v>
      </c>
      <c r="B51" s="10">
        <f t="shared" ref="B51:C51" si="32">+B41/B47</f>
        <v>6.7393293947258863</v>
      </c>
      <c r="C51" s="10">
        <f t="shared" si="32"/>
        <v>6.9918811655633348</v>
      </c>
      <c r="D51" s="10">
        <f t="shared" ref="D51:I51" si="33">+D41/D47</f>
        <v>6.9924072264991644</v>
      </c>
      <c r="E51" s="10">
        <f t="shared" si="33"/>
        <v>7.0728621182913205</v>
      </c>
      <c r="F51" s="10">
        <f t="shared" si="33"/>
        <v>6.3080523659767413</v>
      </c>
      <c r="G51" s="10">
        <f t="shared" si="33"/>
        <v>6.2263534631872375</v>
      </c>
      <c r="H51" s="10">
        <f t="shared" si="33"/>
        <v>6.6803723016829633</v>
      </c>
      <c r="I51" s="10">
        <f t="shared" si="33"/>
        <v>6.7766226798997744</v>
      </c>
    </row>
    <row r="52" spans="1:13" s="10" customFormat="1" x14ac:dyDescent="0.2">
      <c r="A52" s="10" t="s">
        <v>4</v>
      </c>
      <c r="B52" s="10">
        <f t="shared" ref="B52:C52" si="34">+(B41-B44)/B47</f>
        <v>6.0262018199740721</v>
      </c>
      <c r="C52" s="10">
        <f t="shared" si="34"/>
        <v>6.6139730561909023</v>
      </c>
      <c r="D52" s="10">
        <f t="shared" ref="D52:I52" si="35">+(D41-D44)/D47</f>
        <v>6.6348025275318081</v>
      </c>
      <c r="E52" s="10">
        <f t="shared" si="35"/>
        <v>6.4260600604103484</v>
      </c>
      <c r="F52" s="10">
        <f t="shared" si="35"/>
        <v>6.2690155781467114</v>
      </c>
      <c r="G52" s="10">
        <f t="shared" si="35"/>
        <v>6.0358531544849301</v>
      </c>
      <c r="H52" s="10">
        <f t="shared" si="35"/>
        <v>6.5415262048561651</v>
      </c>
      <c r="I52" s="10">
        <f t="shared" si="35"/>
        <v>6.7596124279517742</v>
      </c>
    </row>
    <row r="53" spans="1:13" s="6" customFormat="1" x14ac:dyDescent="0.2">
      <c r="A53" s="6" t="s">
        <v>3</v>
      </c>
      <c r="B53" s="6">
        <f t="shared" ref="B53:C53" si="36">+B48/B41</f>
        <v>3.9781877319730777E-2</v>
      </c>
      <c r="C53" s="6">
        <f t="shared" si="36"/>
        <v>3.708782461845069E-3</v>
      </c>
      <c r="D53" s="6">
        <f t="shared" ref="D53:I53" si="37">+D48/D41</f>
        <v>1.5806553596667404E-2</v>
      </c>
      <c r="E53" s="6">
        <f t="shared" si="37"/>
        <v>-1.4251735466482018E-2</v>
      </c>
      <c r="F53" s="6">
        <f t="shared" si="37"/>
        <v>-4.3555555555555596E-3</v>
      </c>
      <c r="G53" s="6">
        <f t="shared" si="37"/>
        <v>-2.7641975941708947E-3</v>
      </c>
      <c r="H53" s="6">
        <f t="shared" si="37"/>
        <v>-5.9426116808646698E-3</v>
      </c>
      <c r="I53" s="6">
        <f t="shared" si="37"/>
        <v>3.0140953852095007E-2</v>
      </c>
    </row>
    <row r="54" spans="1:13" s="6" customFormat="1" x14ac:dyDescent="0.2">
      <c r="A54" s="8" t="s">
        <v>2</v>
      </c>
      <c r="B54" s="9"/>
      <c r="C54" s="9"/>
      <c r="D54" s="9"/>
      <c r="E54" s="9"/>
      <c r="F54" s="9"/>
      <c r="G54" s="9"/>
      <c r="H54" s="9"/>
      <c r="I54" s="9"/>
      <c r="J54" s="9"/>
      <c r="K54" s="9"/>
      <c r="L54" s="9"/>
      <c r="M54" s="9"/>
    </row>
    <row r="55" spans="1:13" s="6" customFormat="1" x14ac:dyDescent="0.2">
      <c r="A55" s="6" t="s">
        <v>1</v>
      </c>
      <c r="B55" s="7">
        <f t="shared" ref="B55:C55" si="38">IF(B42=0,IF(B54="","","*"&amp;TEXT(B54,"0.0x")),(B41+B42-B44)/B47)</f>
        <v>7.4039767099190943</v>
      </c>
      <c r="C55" s="7">
        <f t="shared" si="38"/>
        <v>8.0474139403025511</v>
      </c>
      <c r="D55" s="7">
        <f t="shared" ref="D55:I55" si="39">IF(D42=0,IF(D54="","","*"&amp;TEXT(D54,"0.0x")),(D41+D42-D44)/D47)</f>
        <v>8.0749741788276168</v>
      </c>
      <c r="E55" s="7">
        <f t="shared" si="39"/>
        <v>7.7859068244047984</v>
      </c>
      <c r="F55" s="7">
        <f t="shared" si="39"/>
        <v>7.6189997318315896</v>
      </c>
      <c r="G55" s="7">
        <f t="shared" si="39"/>
        <v>7.3701926661555843</v>
      </c>
      <c r="H55" s="7">
        <f t="shared" si="39"/>
        <v>7.9692412806249724</v>
      </c>
      <c r="I55" s="7">
        <f t="shared" si="39"/>
        <v>8.20875504582955</v>
      </c>
      <c r="J55" s="7"/>
      <c r="K55" s="7"/>
      <c r="L55" s="7"/>
      <c r="M55" s="7"/>
    </row>
    <row r="56" spans="1:13" x14ac:dyDescent="0.2">
      <c r="M56" s="3"/>
    </row>
    <row r="57" spans="1:13" ht="80.25" customHeight="1" x14ac:dyDescent="0.2">
      <c r="A57" s="5" t="s">
        <v>0</v>
      </c>
      <c r="B57" s="4" t="s">
        <v>235</v>
      </c>
      <c r="C57" s="4" t="s">
        <v>235</v>
      </c>
      <c r="D57" s="4" t="s">
        <v>104</v>
      </c>
      <c r="E57" s="4" t="s">
        <v>104</v>
      </c>
      <c r="F57" s="4" t="s">
        <v>104</v>
      </c>
      <c r="G57" s="4" t="s">
        <v>104</v>
      </c>
      <c r="H57" s="4"/>
      <c r="I57" s="4" t="s">
        <v>457</v>
      </c>
      <c r="J57" s="4"/>
      <c r="K57" s="4"/>
      <c r="L57" s="4"/>
      <c r="M57" s="4"/>
    </row>
    <row r="58" spans="1:13" x14ac:dyDescent="0.2">
      <c r="A58" s="2"/>
      <c r="B58" s="3"/>
      <c r="C58" s="3"/>
      <c r="D58" s="3"/>
      <c r="E58" s="3"/>
      <c r="F58" s="3"/>
      <c r="G58" s="3"/>
      <c r="H58" s="3"/>
      <c r="I58" s="3"/>
    </row>
    <row r="59" spans="1:13" x14ac:dyDescent="0.2">
      <c r="A59" s="2"/>
    </row>
  </sheetData>
  <pageMargins left="0.7" right="0.7" top="0.75" bottom="0.75" header="0.3" footer="0.3"/>
  <pageSetup orientation="portrait" r:id="rId1"/>
  <ignoredErrors>
    <ignoredError sqref="H46:I50 G46:G50 E51:G51 E46:F50" formulaRange="1"/>
  </ignoredErrors>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358</v>
      </c>
    </row>
    <row r="3" spans="1:11" s="35" customFormat="1" x14ac:dyDescent="0.2">
      <c r="A3" s="36" t="s">
        <v>43</v>
      </c>
      <c r="B3" s="35" t="s">
        <v>360</v>
      </c>
    </row>
    <row r="4" spans="1:11" x14ac:dyDescent="0.2">
      <c r="A4" s="34" t="s">
        <v>41</v>
      </c>
      <c r="B4" s="1" t="s">
        <v>502</v>
      </c>
    </row>
    <row r="5" spans="1:11" x14ac:dyDescent="0.2">
      <c r="A5" s="34" t="s">
        <v>39</v>
      </c>
    </row>
    <row r="6" spans="1:11" x14ac:dyDescent="0.2">
      <c r="A6" s="34" t="s">
        <v>38</v>
      </c>
      <c r="B6" s="1">
        <v>2</v>
      </c>
    </row>
    <row r="7" spans="1:11" x14ac:dyDescent="0.2">
      <c r="A7" s="34" t="s">
        <v>37</v>
      </c>
      <c r="B7" s="1" t="s">
        <v>374</v>
      </c>
    </row>
    <row r="8" spans="1:11" x14ac:dyDescent="0.2">
      <c r="A8" s="34" t="s">
        <v>281</v>
      </c>
      <c r="B8" s="1" t="s">
        <v>361</v>
      </c>
    </row>
    <row r="9" spans="1:11" x14ac:dyDescent="0.2">
      <c r="A9" s="22"/>
    </row>
    <row r="10" spans="1:11" x14ac:dyDescent="0.2">
      <c r="A10" s="22" t="s">
        <v>36</v>
      </c>
      <c r="B10" s="33">
        <v>44012</v>
      </c>
      <c r="C10" s="33">
        <v>43921</v>
      </c>
      <c r="D10" s="33">
        <v>43830</v>
      </c>
      <c r="E10" s="33">
        <v>43738</v>
      </c>
      <c r="F10" s="33">
        <v>43646</v>
      </c>
      <c r="G10" s="33">
        <v>43555</v>
      </c>
      <c r="H10" s="33">
        <f>EOMONTH(G10,-3)</f>
        <v>43465</v>
      </c>
      <c r="I10" s="33">
        <f t="shared" ref="I10:K10" si="0">EOMONTH(H10,-3)</f>
        <v>43373</v>
      </c>
      <c r="J10" s="33">
        <f t="shared" si="0"/>
        <v>43281</v>
      </c>
      <c r="K10" s="33">
        <f t="shared" si="0"/>
        <v>43190</v>
      </c>
    </row>
    <row r="12" spans="1:11" x14ac:dyDescent="0.2">
      <c r="A12" s="15" t="s">
        <v>35</v>
      </c>
      <c r="B12" s="19">
        <v>296.8</v>
      </c>
      <c r="C12" s="19">
        <v>366.6</v>
      </c>
      <c r="D12" s="19">
        <v>355.89999999999986</v>
      </c>
      <c r="E12" s="19">
        <v>357.3</v>
      </c>
      <c r="F12" s="19">
        <v>366.4</v>
      </c>
      <c r="G12" s="19">
        <v>357.20000000000005</v>
      </c>
      <c r="H12" s="19">
        <v>335.19999999999993</v>
      </c>
      <c r="I12" s="19">
        <v>321.10000000000002</v>
      </c>
      <c r="J12" s="19">
        <v>333.2</v>
      </c>
      <c r="K12" s="19">
        <v>337.3</v>
      </c>
    </row>
    <row r="13" spans="1:11" s="28" customFormat="1" x14ac:dyDescent="0.2">
      <c r="A13" s="28" t="s">
        <v>34</v>
      </c>
      <c r="B13" s="28">
        <f t="shared" ref="B13:G13" si="1">+B12/F12-1</f>
        <v>-0.1899563318777292</v>
      </c>
      <c r="C13" s="28">
        <f t="shared" si="1"/>
        <v>2.631578947368407E-2</v>
      </c>
      <c r="D13" s="28">
        <f t="shared" si="1"/>
        <v>6.1754176610978373E-2</v>
      </c>
      <c r="E13" s="28">
        <f t="shared" si="1"/>
        <v>0.11273746496418546</v>
      </c>
      <c r="F13" s="28">
        <f t="shared" si="1"/>
        <v>9.9639855942377009E-2</v>
      </c>
      <c r="G13" s="28">
        <f t="shared" si="1"/>
        <v>5.8997924696116311E-2</v>
      </c>
    </row>
    <row r="14" spans="1:11" s="23" customFormat="1" x14ac:dyDescent="0.2">
      <c r="A14" s="31" t="s">
        <v>33</v>
      </c>
      <c r="B14" s="32" t="s">
        <v>32</v>
      </c>
      <c r="C14" s="32" t="s">
        <v>32</v>
      </c>
      <c r="D14" s="32" t="s">
        <v>32</v>
      </c>
      <c r="E14" s="32" t="s">
        <v>32</v>
      </c>
      <c r="F14" s="32" t="s">
        <v>32</v>
      </c>
      <c r="G14" s="32" t="s">
        <v>32</v>
      </c>
      <c r="H14" s="32"/>
      <c r="I14" s="32"/>
      <c r="J14" s="32"/>
      <c r="K14" s="31"/>
    </row>
    <row r="16" spans="1:11" s="22" customFormat="1" x14ac:dyDescent="0.2">
      <c r="A16" s="30" t="s">
        <v>31</v>
      </c>
      <c r="B16" s="29">
        <v>77.3</v>
      </c>
      <c r="C16" s="29">
        <v>99.700000000000017</v>
      </c>
      <c r="D16" s="29">
        <v>100.39999999999989</v>
      </c>
      <c r="E16" s="29">
        <v>98.399999999999991</v>
      </c>
      <c r="F16" s="29">
        <v>105.1</v>
      </c>
      <c r="G16" s="29">
        <v>106.30000000000003</v>
      </c>
      <c r="H16" s="29">
        <v>97.099999999999838</v>
      </c>
      <c r="I16" s="29">
        <v>87.90000000000002</v>
      </c>
      <c r="J16" s="29">
        <v>101.4</v>
      </c>
      <c r="K16" s="29">
        <v>99.200000000000017</v>
      </c>
    </row>
    <row r="17" spans="1:11" s="28" customFormat="1" x14ac:dyDescent="0.2">
      <c r="A17" s="28" t="s">
        <v>30</v>
      </c>
      <c r="B17" s="28">
        <f t="shared" ref="B17:D17" si="2">+B16/B12</f>
        <v>0.26044474393530997</v>
      </c>
      <c r="C17" s="28">
        <f t="shared" si="2"/>
        <v>0.27195853791598473</v>
      </c>
      <c r="D17" s="28">
        <f t="shared" si="2"/>
        <v>0.2821017139645966</v>
      </c>
      <c r="E17" s="28">
        <f t="shared" ref="E17:F17" si="3">+E16/E12</f>
        <v>0.27539882451721237</v>
      </c>
      <c r="F17" s="28">
        <f t="shared" si="3"/>
        <v>0.28684497816593885</v>
      </c>
      <c r="G17" s="28">
        <f t="shared" ref="G17:K17" si="4">+G16/G12</f>
        <v>0.29759238521836512</v>
      </c>
      <c r="H17" s="28">
        <f t="shared" si="4"/>
        <v>0.28967780429594231</v>
      </c>
      <c r="I17" s="28">
        <f t="shared" si="4"/>
        <v>0.27374649641856125</v>
      </c>
      <c r="J17" s="28">
        <f t="shared" si="4"/>
        <v>0.30432172869147661</v>
      </c>
      <c r="K17" s="28">
        <f t="shared" si="4"/>
        <v>0.2941002075303884</v>
      </c>
    </row>
    <row r="18" spans="1:11" s="23" customFormat="1" x14ac:dyDescent="0.2"/>
    <row r="19" spans="1:11" s="23" customFormat="1" x14ac:dyDescent="0.2">
      <c r="A19" s="15" t="s">
        <v>29</v>
      </c>
      <c r="B19" s="19">
        <v>0</v>
      </c>
      <c r="C19" s="19">
        <v>0</v>
      </c>
      <c r="D19" s="19">
        <v>0</v>
      </c>
      <c r="E19" s="19">
        <v>0</v>
      </c>
      <c r="F19" s="19">
        <v>0</v>
      </c>
      <c r="G19" s="19">
        <v>0</v>
      </c>
      <c r="H19" s="19">
        <v>0</v>
      </c>
      <c r="I19" s="19">
        <v>0</v>
      </c>
      <c r="J19" s="19">
        <v>0</v>
      </c>
      <c r="K19" s="19">
        <v>0</v>
      </c>
    </row>
    <row r="20" spans="1:11" s="23" customFormat="1" x14ac:dyDescent="0.2">
      <c r="A20" s="15" t="s">
        <v>28</v>
      </c>
      <c r="B20" s="19">
        <v>0</v>
      </c>
      <c r="C20" s="19">
        <v>0</v>
      </c>
      <c r="D20" s="19">
        <v>0</v>
      </c>
      <c r="E20" s="19">
        <v>0</v>
      </c>
      <c r="F20" s="19">
        <v>0</v>
      </c>
      <c r="G20" s="19">
        <v>0</v>
      </c>
      <c r="H20" s="19">
        <v>0</v>
      </c>
      <c r="I20" s="19">
        <v>0</v>
      </c>
      <c r="J20" s="19">
        <v>0</v>
      </c>
      <c r="K20" s="19">
        <v>0</v>
      </c>
    </row>
    <row r="21" spans="1:11" s="23" customFormat="1" x14ac:dyDescent="0.2">
      <c r="A21" s="15" t="s">
        <v>18</v>
      </c>
      <c r="B21" s="19">
        <f>B22-B16-B19-B20</f>
        <v>1.6000000000000085</v>
      </c>
      <c r="C21" s="19">
        <v>0.29999999999998295</v>
      </c>
      <c r="D21" s="19">
        <v>-0.99999999999991473</v>
      </c>
      <c r="E21" s="19">
        <v>0.70000000000000284</v>
      </c>
      <c r="F21" s="19">
        <f>F22-F16-F19-F20</f>
        <v>2.2000000000000028</v>
      </c>
      <c r="G21" s="19">
        <v>-0.40000000000003411</v>
      </c>
      <c r="H21" s="19">
        <v>-1.2999999999998408</v>
      </c>
      <c r="I21" s="19">
        <v>-0.30000000000002558</v>
      </c>
      <c r="J21" s="19">
        <v>0</v>
      </c>
      <c r="K21" s="19">
        <v>-1.0000000000000284</v>
      </c>
    </row>
    <row r="22" spans="1:11" s="22" customFormat="1" x14ac:dyDescent="0.2">
      <c r="A22" s="22" t="s">
        <v>23</v>
      </c>
      <c r="B22" s="63">
        <v>78.900000000000006</v>
      </c>
      <c r="C22" s="63">
        <f t="shared" ref="C22:K22" si="5">C16+C19+C20+C21</f>
        <v>100</v>
      </c>
      <c r="D22" s="63">
        <f t="shared" si="5"/>
        <v>99.399999999999977</v>
      </c>
      <c r="E22" s="63">
        <f t="shared" si="5"/>
        <v>99.1</v>
      </c>
      <c r="F22" s="63">
        <v>107.3</v>
      </c>
      <c r="G22" s="63">
        <f t="shared" si="5"/>
        <v>105.89999999999999</v>
      </c>
      <c r="H22" s="63">
        <f t="shared" si="5"/>
        <v>95.8</v>
      </c>
      <c r="I22" s="63">
        <f t="shared" si="5"/>
        <v>87.6</v>
      </c>
      <c r="J22" s="63">
        <f t="shared" si="5"/>
        <v>101.4</v>
      </c>
      <c r="K22" s="63">
        <f t="shared" si="5"/>
        <v>98.199999999999989</v>
      </c>
    </row>
    <row r="23" spans="1:11" s="22" customFormat="1" x14ac:dyDescent="0.2">
      <c r="B23" s="20"/>
      <c r="C23" s="20"/>
      <c r="D23" s="20"/>
      <c r="E23" s="20"/>
      <c r="F23" s="20"/>
      <c r="G23" s="20"/>
      <c r="H23" s="20"/>
      <c r="I23" s="20"/>
      <c r="J23" s="20"/>
      <c r="K23" s="20"/>
    </row>
    <row r="24" spans="1:11" s="22" customFormat="1" x14ac:dyDescent="0.2">
      <c r="A24" s="22" t="s">
        <v>27</v>
      </c>
      <c r="B24" s="20">
        <f>SUM(B22:E22)</f>
        <v>377.4</v>
      </c>
      <c r="C24" s="20">
        <f>SUM(C22:F22)</f>
        <v>405.8</v>
      </c>
      <c r="D24" s="20">
        <f>SUM(D22:G22)</f>
        <v>411.69999999999993</v>
      </c>
      <c r="E24" s="20">
        <f>SUM(E22:H22)</f>
        <v>408.09999999999997</v>
      </c>
      <c r="F24" s="61">
        <f>G27+F22+G22-J22-K22</f>
        <v>401.60000000000008</v>
      </c>
      <c r="G24" s="20">
        <f>SUM(G22:J22)</f>
        <v>390.69999999999993</v>
      </c>
      <c r="H24" s="20">
        <f>SUM(H22:K22)</f>
        <v>382.99999999999994</v>
      </c>
      <c r="I24" s="20"/>
      <c r="J24" s="20"/>
      <c r="K24" s="20"/>
    </row>
    <row r="25" spans="1:11" s="23" customFormat="1" x14ac:dyDescent="0.2">
      <c r="A25" s="15" t="s">
        <v>26</v>
      </c>
      <c r="B25" s="27">
        <v>0</v>
      </c>
      <c r="C25" s="27">
        <v>0</v>
      </c>
      <c r="D25" s="27">
        <v>0</v>
      </c>
      <c r="E25" s="27">
        <v>0</v>
      </c>
      <c r="F25" s="27">
        <v>0</v>
      </c>
      <c r="G25" s="27">
        <f>G47-G24</f>
        <v>-2.6999999999999318</v>
      </c>
      <c r="H25" s="27">
        <v>0</v>
      </c>
      <c r="I25" s="27"/>
      <c r="J25" s="27"/>
      <c r="K25" s="27"/>
    </row>
    <row r="26" spans="1:11" s="23" customFormat="1" x14ac:dyDescent="0.2">
      <c r="A26" s="15" t="s">
        <v>25</v>
      </c>
      <c r="B26" s="21">
        <v>0</v>
      </c>
      <c r="C26" s="21">
        <v>0</v>
      </c>
      <c r="D26" s="21">
        <v>0</v>
      </c>
      <c r="E26" s="21">
        <v>0</v>
      </c>
      <c r="F26" s="21">
        <v>0</v>
      </c>
      <c r="G26" s="21">
        <v>0</v>
      </c>
      <c r="H26" s="21">
        <v>0</v>
      </c>
      <c r="I26" s="21"/>
      <c r="J26" s="21"/>
      <c r="K26" s="21"/>
    </row>
    <row r="27" spans="1:11" s="24" customFormat="1" x14ac:dyDescent="0.2">
      <c r="A27" s="22" t="s">
        <v>24</v>
      </c>
      <c r="B27" s="20">
        <f t="shared" ref="B27:G27" si="6">SUM(B24:B26)</f>
        <v>377.4</v>
      </c>
      <c r="C27" s="20">
        <f t="shared" si="6"/>
        <v>405.8</v>
      </c>
      <c r="D27" s="20">
        <f t="shared" si="6"/>
        <v>411.69999999999993</v>
      </c>
      <c r="E27" s="20">
        <f t="shared" si="6"/>
        <v>408.09999999999997</v>
      </c>
      <c r="F27" s="20">
        <f t="shared" si="6"/>
        <v>401.60000000000008</v>
      </c>
      <c r="G27" s="20">
        <f t="shared" si="6"/>
        <v>388</v>
      </c>
      <c r="H27" s="20">
        <f>H24+H25+H26</f>
        <v>382.99999999999994</v>
      </c>
      <c r="I27" s="20"/>
      <c r="J27" s="20"/>
      <c r="K27" s="20"/>
    </row>
    <row r="28" spans="1:11" s="23" customFormat="1" x14ac:dyDescent="0.2"/>
    <row r="29" spans="1:11" s="22" customFormat="1" x14ac:dyDescent="0.2">
      <c r="A29" s="22" t="s">
        <v>23</v>
      </c>
      <c r="B29" s="20">
        <f t="shared" ref="B29" si="7">B22</f>
        <v>78.900000000000006</v>
      </c>
      <c r="C29" s="20">
        <f t="shared" ref="C29:D29" si="8">C22</f>
        <v>100</v>
      </c>
      <c r="D29" s="20">
        <f t="shared" si="8"/>
        <v>99.399999999999977</v>
      </c>
      <c r="E29" s="20">
        <f t="shared" ref="E29:K29" si="9">E22</f>
        <v>99.1</v>
      </c>
      <c r="F29" s="20">
        <f t="shared" si="9"/>
        <v>107.3</v>
      </c>
      <c r="G29" s="20">
        <f t="shared" si="9"/>
        <v>105.89999999999999</v>
      </c>
      <c r="H29" s="20">
        <f t="shared" si="9"/>
        <v>95.8</v>
      </c>
      <c r="I29" s="20">
        <f t="shared" si="9"/>
        <v>87.6</v>
      </c>
      <c r="J29" s="20">
        <f t="shared" si="9"/>
        <v>101.4</v>
      </c>
      <c r="K29" s="20">
        <f t="shared" si="9"/>
        <v>98.199999999999989</v>
      </c>
    </row>
    <row r="30" spans="1:11" s="11" customFormat="1" x14ac:dyDescent="0.2">
      <c r="A30" s="19" t="s">
        <v>22</v>
      </c>
      <c r="B30" s="19">
        <f>-28.9-C30</f>
        <v>-20.599999999999998</v>
      </c>
      <c r="C30" s="19">
        <v>-8.3000000000000007</v>
      </c>
      <c r="D30" s="19">
        <v>9.4000000000000021</v>
      </c>
      <c r="E30" s="19">
        <v>-17.5</v>
      </c>
      <c r="F30" s="19">
        <f>-0.2-G30</f>
        <v>-0.1</v>
      </c>
      <c r="G30" s="19">
        <v>-0.1</v>
      </c>
      <c r="H30" s="19">
        <v>-9.8000000000000043</v>
      </c>
      <c r="I30" s="19">
        <v>-9.6</v>
      </c>
      <c r="J30" s="19">
        <v>-9.6999999999999993</v>
      </c>
      <c r="K30" s="19">
        <v>-9.6000000000000014</v>
      </c>
    </row>
    <row r="31" spans="1:11" s="11" customFormat="1" x14ac:dyDescent="0.2">
      <c r="A31" s="19" t="s">
        <v>21</v>
      </c>
      <c r="B31" s="19">
        <f>-6.2-C31</f>
        <v>-2.2000000000000002</v>
      </c>
      <c r="C31" s="19">
        <v>-4</v>
      </c>
      <c r="D31" s="19">
        <v>-14.099999999999994</v>
      </c>
      <c r="E31" s="19">
        <v>-18.700000000000003</v>
      </c>
      <c r="F31" s="19">
        <f>-41.4-G31</f>
        <v>-36.699999999999996</v>
      </c>
      <c r="G31" s="19">
        <v>-4.7</v>
      </c>
      <c r="H31" s="19">
        <v>-13.100000000000001</v>
      </c>
      <c r="I31" s="19">
        <v>-16</v>
      </c>
      <c r="J31" s="19">
        <v>-17.399999999999999</v>
      </c>
      <c r="K31" s="19">
        <v>-16</v>
      </c>
    </row>
    <row r="32" spans="1:11" s="11" customFormat="1" x14ac:dyDescent="0.2">
      <c r="A32" s="19" t="s">
        <v>20</v>
      </c>
      <c r="B32" s="19">
        <f>65.8+20.5-C32</f>
        <v>60.9</v>
      </c>
      <c r="C32" s="19">
        <f>16+9.4</f>
        <v>25.4</v>
      </c>
      <c r="D32" s="19">
        <v>38.800000000000004</v>
      </c>
      <c r="E32" s="19">
        <v>-62.300000000000004</v>
      </c>
      <c r="F32" s="19">
        <f>14-7.9-G32</f>
        <v>49.1</v>
      </c>
      <c r="G32" s="17">
        <f>-37.3-5.7</f>
        <v>-43</v>
      </c>
      <c r="H32" s="19">
        <v>-21.9</v>
      </c>
      <c r="I32" s="19">
        <v>12.2</v>
      </c>
      <c r="J32" s="19">
        <v>15.399999999999999</v>
      </c>
      <c r="K32" s="17" t="s">
        <v>83</v>
      </c>
    </row>
    <row r="33" spans="1:11" s="11" customFormat="1" x14ac:dyDescent="0.2">
      <c r="A33" s="19" t="s">
        <v>19</v>
      </c>
      <c r="B33" s="19"/>
      <c r="C33" s="19"/>
      <c r="D33" s="19"/>
      <c r="E33" s="19"/>
      <c r="F33" s="19"/>
      <c r="G33" s="19"/>
      <c r="H33" s="19"/>
      <c r="I33" s="19"/>
      <c r="J33" s="19"/>
      <c r="K33" s="19"/>
    </row>
    <row r="34" spans="1:11" s="11" customFormat="1" x14ac:dyDescent="0.2">
      <c r="A34" s="19" t="s">
        <v>18</v>
      </c>
      <c r="B34" s="21"/>
      <c r="C34" s="21"/>
      <c r="D34" s="21"/>
      <c r="E34" s="21"/>
      <c r="F34" s="21"/>
      <c r="G34" s="21"/>
      <c r="H34" s="21"/>
      <c r="I34" s="21"/>
      <c r="J34" s="21"/>
      <c r="K34" s="21"/>
    </row>
    <row r="35" spans="1:11" s="20" customFormat="1" x14ac:dyDescent="0.2">
      <c r="A35" s="20" t="s">
        <v>17</v>
      </c>
      <c r="B35" s="20">
        <f>217.3-C35</f>
        <v>120.00000000000001</v>
      </c>
      <c r="C35" s="20">
        <v>97.3</v>
      </c>
      <c r="D35" s="20">
        <v>21.599999999999994</v>
      </c>
      <c r="E35" s="20">
        <v>89.9</v>
      </c>
      <c r="F35" s="20">
        <f>162.1-G35</f>
        <v>125.6</v>
      </c>
      <c r="G35" s="20">
        <v>36.5</v>
      </c>
      <c r="H35" s="20">
        <v>48.099999999999966</v>
      </c>
      <c r="I35" s="20">
        <v>76.800000000000011</v>
      </c>
      <c r="J35" s="20">
        <v>165</v>
      </c>
    </row>
    <row r="36" spans="1:11" s="11" customFormat="1" x14ac:dyDescent="0.2">
      <c r="A36" s="19" t="s">
        <v>16</v>
      </c>
      <c r="B36" s="21">
        <f>-22.1-C36</f>
        <v>-11.500000000000002</v>
      </c>
      <c r="C36" s="21">
        <v>-10.6</v>
      </c>
      <c r="D36" s="21">
        <v>-12.100000000000001</v>
      </c>
      <c r="E36" s="21">
        <v>-18.899999999999999</v>
      </c>
      <c r="F36" s="21">
        <f>-37.5-G36</f>
        <v>-15.899999999999999</v>
      </c>
      <c r="G36" s="21">
        <v>-21.6</v>
      </c>
      <c r="H36" s="21">
        <v>-28.300000000000004</v>
      </c>
      <c r="I36" s="21">
        <v>-9.6999999999999993</v>
      </c>
      <c r="J36" s="21">
        <v>-28.7</v>
      </c>
      <c r="K36" s="21"/>
    </row>
    <row r="37" spans="1:11" s="20" customFormat="1" x14ac:dyDescent="0.2">
      <c r="A37" s="20" t="s">
        <v>15</v>
      </c>
      <c r="B37" s="20">
        <f t="shared" ref="B37:J37" si="10">+B35+B36</f>
        <v>108.50000000000001</v>
      </c>
      <c r="C37" s="20">
        <f t="shared" si="10"/>
        <v>86.7</v>
      </c>
      <c r="D37" s="20">
        <f t="shared" si="10"/>
        <v>9.4999999999999929</v>
      </c>
      <c r="E37" s="20">
        <f t="shared" si="10"/>
        <v>71</v>
      </c>
      <c r="F37" s="20">
        <f t="shared" si="10"/>
        <v>109.69999999999999</v>
      </c>
      <c r="G37" s="20">
        <f t="shared" si="10"/>
        <v>14.899999999999999</v>
      </c>
      <c r="H37" s="20">
        <f t="shared" si="10"/>
        <v>19.799999999999962</v>
      </c>
      <c r="I37" s="20">
        <f t="shared" si="10"/>
        <v>67.100000000000009</v>
      </c>
      <c r="J37" s="20">
        <f t="shared" si="10"/>
        <v>136.30000000000001</v>
      </c>
      <c r="K37" s="74" t="s">
        <v>83</v>
      </c>
    </row>
    <row r="39" spans="1:11" s="16" customFormat="1" x14ac:dyDescent="0.2">
      <c r="A39" s="18" t="s">
        <v>14</v>
      </c>
      <c r="B39" s="19">
        <v>0</v>
      </c>
      <c r="C39" s="19">
        <v>0</v>
      </c>
      <c r="D39" s="19">
        <v>0</v>
      </c>
      <c r="E39" s="19">
        <v>0</v>
      </c>
      <c r="F39" s="19">
        <v>0</v>
      </c>
      <c r="G39" s="19">
        <v>0</v>
      </c>
      <c r="H39" s="19"/>
      <c r="I39" s="19"/>
      <c r="J39" s="19"/>
      <c r="K39" s="19"/>
    </row>
    <row r="40" spans="1:11" s="16" customFormat="1" x14ac:dyDescent="0.2">
      <c r="A40" s="18" t="s">
        <v>13</v>
      </c>
      <c r="B40" s="19">
        <f>774+26.3</f>
        <v>800.3</v>
      </c>
      <c r="C40" s="19">
        <v>799.6</v>
      </c>
      <c r="D40" s="19">
        <v>778.8</v>
      </c>
      <c r="E40" s="19">
        <v>818.1</v>
      </c>
      <c r="F40" s="19">
        <f>800+22</f>
        <v>822</v>
      </c>
      <c r="G40" s="19">
        <v>800</v>
      </c>
      <c r="H40" s="19"/>
      <c r="I40" s="19"/>
      <c r="J40" s="19"/>
      <c r="K40" s="19"/>
    </row>
    <row r="41" spans="1:11" s="16" customFormat="1" x14ac:dyDescent="0.2">
      <c r="A41" s="18" t="s">
        <v>12</v>
      </c>
      <c r="B41" s="19">
        <f t="shared" ref="B41:G41" si="11">B39+B40+500</f>
        <v>1300.3</v>
      </c>
      <c r="C41" s="19">
        <f t="shared" si="11"/>
        <v>1299.5999999999999</v>
      </c>
      <c r="D41" s="19">
        <f t="shared" si="11"/>
        <v>1278.8</v>
      </c>
      <c r="E41" s="19">
        <f t="shared" si="11"/>
        <v>1318.1</v>
      </c>
      <c r="F41" s="19">
        <f t="shared" si="11"/>
        <v>1322</v>
      </c>
      <c r="G41" s="19">
        <f t="shared" si="11"/>
        <v>1300</v>
      </c>
      <c r="H41" s="19"/>
      <c r="I41" s="19"/>
      <c r="J41" s="19"/>
      <c r="K41" s="19"/>
    </row>
    <row r="42" spans="1:11" s="16" customFormat="1" x14ac:dyDescent="0.2">
      <c r="A42" s="18" t="s">
        <v>11</v>
      </c>
      <c r="B42" s="17">
        <v>4520</v>
      </c>
      <c r="C42" s="17">
        <v>4520</v>
      </c>
      <c r="D42" s="17">
        <v>4520</v>
      </c>
      <c r="E42" s="17">
        <v>4520</v>
      </c>
      <c r="F42" s="17">
        <v>4520</v>
      </c>
      <c r="G42" s="17">
        <v>4520</v>
      </c>
      <c r="H42" s="17"/>
      <c r="I42" s="17"/>
      <c r="J42" s="17"/>
      <c r="K42" s="17"/>
    </row>
    <row r="43" spans="1:11" x14ac:dyDescent="0.2">
      <c r="B43" s="16"/>
      <c r="C43" s="16"/>
      <c r="D43" s="16"/>
      <c r="E43" s="16"/>
      <c r="F43" s="16"/>
      <c r="G43" s="16"/>
      <c r="H43" s="16"/>
      <c r="I43" s="16"/>
    </row>
    <row r="44" spans="1:11" x14ac:dyDescent="0.2">
      <c r="A44" s="15" t="s">
        <v>10</v>
      </c>
      <c r="B44" s="27">
        <v>187</v>
      </c>
      <c r="C44" s="27">
        <v>86.1</v>
      </c>
      <c r="D44" s="27">
        <v>47.1</v>
      </c>
      <c r="E44" s="27">
        <v>49.8</v>
      </c>
      <c r="F44" s="27">
        <v>50.9</v>
      </c>
      <c r="G44" s="27">
        <v>50</v>
      </c>
      <c r="H44" s="27"/>
      <c r="I44" s="27"/>
      <c r="J44" s="27"/>
      <c r="K44" s="27"/>
    </row>
    <row r="46" spans="1:11" x14ac:dyDescent="0.2">
      <c r="A46" s="1" t="s">
        <v>9</v>
      </c>
      <c r="B46" s="13">
        <f t="shared" ref="B46:G46" si="12">SUM(B12:E12)</f>
        <v>1376.6</v>
      </c>
      <c r="C46" s="13">
        <f t="shared" si="12"/>
        <v>1446.1999999999998</v>
      </c>
      <c r="D46" s="13">
        <f t="shared" si="12"/>
        <v>1436.8</v>
      </c>
      <c r="E46" s="13">
        <f t="shared" si="12"/>
        <v>1416.1</v>
      </c>
      <c r="F46" s="13">
        <f t="shared" si="12"/>
        <v>1379.9</v>
      </c>
      <c r="G46" s="13">
        <f t="shared" si="12"/>
        <v>1346.7</v>
      </c>
      <c r="H46" s="11"/>
      <c r="I46" s="11"/>
      <c r="J46" s="11"/>
      <c r="K46" s="11"/>
    </row>
    <row r="47" spans="1:11" x14ac:dyDescent="0.2">
      <c r="A47" s="1" t="s">
        <v>8</v>
      </c>
      <c r="B47" s="13">
        <f>B27</f>
        <v>377.4</v>
      </c>
      <c r="C47" s="13">
        <f>C27</f>
        <v>405.8</v>
      </c>
      <c r="D47" s="13">
        <f>D27</f>
        <v>411.69999999999993</v>
      </c>
      <c r="E47" s="13">
        <f>E27</f>
        <v>408.09999999999997</v>
      </c>
      <c r="F47" s="13">
        <f>F27</f>
        <v>401.60000000000008</v>
      </c>
      <c r="G47" s="12">
        <v>388</v>
      </c>
      <c r="H47" s="11"/>
      <c r="I47" s="11"/>
      <c r="J47" s="11"/>
      <c r="K47" s="11"/>
    </row>
    <row r="48" spans="1:11" x14ac:dyDescent="0.2">
      <c r="A48" s="1" t="s">
        <v>7</v>
      </c>
      <c r="B48" s="13">
        <f>C48+B37-F37</f>
        <v>220.25000000000006</v>
      </c>
      <c r="C48" s="13">
        <f>D48+C37-G37</f>
        <v>221.45000000000002</v>
      </c>
      <c r="D48" s="13">
        <f>E48+D37-H37</f>
        <v>149.65000000000003</v>
      </c>
      <c r="E48" s="13">
        <f>F48+E37-I37</f>
        <v>159.94999999999999</v>
      </c>
      <c r="F48" s="13">
        <f>G48+F37-J37</f>
        <v>156.05000000000001</v>
      </c>
      <c r="G48" s="12">
        <v>182.65</v>
      </c>
      <c r="H48" s="11"/>
      <c r="I48" s="11"/>
      <c r="J48" s="11"/>
      <c r="K48" s="11"/>
    </row>
    <row r="50" spans="1:11" s="10" customFormat="1" x14ac:dyDescent="0.2">
      <c r="A50" s="10" t="s">
        <v>6</v>
      </c>
      <c r="B50" s="10">
        <f t="shared" ref="B50:G50" si="13">+SUM(B39:B40)/B47</f>
        <v>2.1205617382087971</v>
      </c>
      <c r="C50" s="10">
        <f t="shared" si="13"/>
        <v>1.9704287826515525</v>
      </c>
      <c r="D50" s="10">
        <f t="shared" si="13"/>
        <v>1.8916686907942679</v>
      </c>
      <c r="E50" s="10">
        <f t="shared" si="13"/>
        <v>2.0046557216368539</v>
      </c>
      <c r="F50" s="10">
        <f t="shared" si="13"/>
        <v>2.0468127490039838</v>
      </c>
      <c r="G50" s="10">
        <f t="shared" si="13"/>
        <v>2.0618556701030926</v>
      </c>
    </row>
    <row r="51" spans="1:11" s="10" customFormat="1" x14ac:dyDescent="0.2">
      <c r="A51" s="10" t="s">
        <v>5</v>
      </c>
      <c r="B51" s="10">
        <f t="shared" ref="B51:G51" si="14">+B41/B47</f>
        <v>3.4454160042395339</v>
      </c>
      <c r="C51" s="10">
        <f t="shared" si="14"/>
        <v>3.2025628388368652</v>
      </c>
      <c r="D51" s="10">
        <f t="shared" si="14"/>
        <v>3.1061452513966485</v>
      </c>
      <c r="E51" s="10">
        <f t="shared" si="14"/>
        <v>3.2298456260720414</v>
      </c>
      <c r="F51" s="10">
        <f t="shared" si="14"/>
        <v>3.2918326693227087</v>
      </c>
      <c r="G51" s="10">
        <f t="shared" si="14"/>
        <v>3.3505154639175259</v>
      </c>
    </row>
    <row r="52" spans="1:11" s="10" customFormat="1" x14ac:dyDescent="0.2">
      <c r="A52" s="10" t="s">
        <v>4</v>
      </c>
      <c r="B52" s="10">
        <f t="shared" ref="B52:G52" si="15">+(B41-B44)/B47</f>
        <v>2.9499205087440381</v>
      </c>
      <c r="C52" s="10">
        <f t="shared" si="15"/>
        <v>2.9903893543617546</v>
      </c>
      <c r="D52" s="10">
        <f t="shared" si="15"/>
        <v>2.9917415593879042</v>
      </c>
      <c r="E52" s="10">
        <f t="shared" si="15"/>
        <v>3.1078167115902966</v>
      </c>
      <c r="F52" s="10">
        <f t="shared" si="15"/>
        <v>3.1650896414342622</v>
      </c>
      <c r="G52" s="10">
        <f t="shared" si="15"/>
        <v>3.2216494845360826</v>
      </c>
    </row>
    <row r="53" spans="1:11" s="6" customFormat="1" x14ac:dyDescent="0.2">
      <c r="A53" s="6" t="s">
        <v>3</v>
      </c>
      <c r="B53" s="6">
        <f t="shared" ref="B53:G53" si="16">+B48/B41</f>
        <v>0.16938398831038995</v>
      </c>
      <c r="C53" s="6">
        <f t="shared" si="16"/>
        <v>0.17039858417974765</v>
      </c>
      <c r="D53" s="6">
        <f t="shared" si="16"/>
        <v>0.11702377228651864</v>
      </c>
      <c r="E53" s="6">
        <f t="shared" si="16"/>
        <v>0.12134891131173658</v>
      </c>
      <c r="F53" s="6">
        <f t="shared" si="16"/>
        <v>0.1180408472012103</v>
      </c>
      <c r="G53" s="6">
        <f t="shared" si="16"/>
        <v>0.14050000000000001</v>
      </c>
    </row>
    <row r="54" spans="1:11" s="6" customFormat="1" x14ac:dyDescent="0.2">
      <c r="A54" s="8" t="s">
        <v>2</v>
      </c>
      <c r="B54" s="9"/>
      <c r="C54" s="9"/>
      <c r="D54" s="9"/>
      <c r="E54" s="9"/>
      <c r="F54" s="9"/>
      <c r="G54" s="9"/>
      <c r="H54" s="9"/>
      <c r="I54" s="9"/>
      <c r="J54" s="9"/>
      <c r="K54" s="9"/>
    </row>
    <row r="55" spans="1:11" s="6" customFormat="1" x14ac:dyDescent="0.2">
      <c r="A55" s="6" t="s">
        <v>1</v>
      </c>
      <c r="B55" s="7">
        <f t="shared" ref="B55:G55" si="17">IF(B42=0,IF(B54="","","*"&amp;TEXT(B54,"0.0x")),(B41+B42-B44)/B47)</f>
        <v>14.926603073661898</v>
      </c>
      <c r="C55" s="7">
        <f t="shared" si="17"/>
        <v>14.128881222276984</v>
      </c>
      <c r="D55" s="7">
        <f t="shared" si="17"/>
        <v>13.970609667233424</v>
      </c>
      <c r="E55" s="7">
        <f t="shared" si="17"/>
        <v>14.183533447684393</v>
      </c>
      <c r="F55" s="7">
        <f t="shared" si="17"/>
        <v>14.420069721115535</v>
      </c>
      <c r="G55" s="7">
        <f t="shared" si="17"/>
        <v>14.871134020618557</v>
      </c>
      <c r="H55" s="7"/>
      <c r="I55" s="7"/>
      <c r="J55" s="7"/>
      <c r="K55" s="7"/>
    </row>
    <row r="56" spans="1:11" x14ac:dyDescent="0.2">
      <c r="K56" s="3"/>
    </row>
    <row r="57" spans="1:11" ht="80.25" customHeight="1" x14ac:dyDescent="0.2">
      <c r="A57" s="5" t="s">
        <v>0</v>
      </c>
      <c r="B57" s="4" t="s">
        <v>236</v>
      </c>
      <c r="C57" s="4" t="s">
        <v>104</v>
      </c>
      <c r="D57" s="4" t="s">
        <v>104</v>
      </c>
      <c r="E57" s="4" t="s">
        <v>104</v>
      </c>
      <c r="F57" s="4" t="s">
        <v>104</v>
      </c>
      <c r="G57" s="4" t="s">
        <v>104</v>
      </c>
      <c r="H57" s="4"/>
      <c r="I57" s="4"/>
      <c r="J57" s="4"/>
      <c r="K57" s="4"/>
    </row>
    <row r="58" spans="1:11" x14ac:dyDescent="0.2">
      <c r="A58" s="2"/>
      <c r="B58" s="3"/>
      <c r="C58" s="3"/>
      <c r="D58" s="3"/>
      <c r="E58" s="3"/>
      <c r="F58" s="3"/>
      <c r="G58" s="3"/>
    </row>
    <row r="59" spans="1:11" x14ac:dyDescent="0.2">
      <c r="A59" s="2"/>
    </row>
  </sheetData>
  <pageMargins left="0.7" right="0.7" top="0.75" bottom="0.75" header="0.3" footer="0.3"/>
  <pageSetup orientation="portrait" r:id="rId1"/>
  <ignoredErrors>
    <ignoredError sqref="G46 E46:F48 C49:F51 C46:D48" formulaRange="1"/>
    <ignoredError sqref="F24" formula="1"/>
  </ignoredErrors>
  <legacy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2:O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406</v>
      </c>
    </row>
    <row r="3" spans="1:15" s="35" customFormat="1" x14ac:dyDescent="0.2">
      <c r="A3" s="36" t="s">
        <v>43</v>
      </c>
      <c r="B3" s="35" t="s">
        <v>364</v>
      </c>
    </row>
    <row r="4" spans="1:15" x14ac:dyDescent="0.2">
      <c r="A4" s="34" t="s">
        <v>41</v>
      </c>
      <c r="B4" s="1" t="s">
        <v>40</v>
      </c>
    </row>
    <row r="5" spans="1:15" x14ac:dyDescent="0.2">
      <c r="A5" s="34" t="s">
        <v>39</v>
      </c>
    </row>
    <row r="6" spans="1:15" x14ac:dyDescent="0.2">
      <c r="A6" s="34" t="s">
        <v>38</v>
      </c>
      <c r="B6" s="1">
        <v>3</v>
      </c>
    </row>
    <row r="7" spans="1:15" x14ac:dyDescent="0.2">
      <c r="A7" s="34" t="s">
        <v>37</v>
      </c>
      <c r="B7" s="1" t="s">
        <v>386</v>
      </c>
    </row>
    <row r="8" spans="1:15" x14ac:dyDescent="0.2">
      <c r="A8" s="34" t="s">
        <v>281</v>
      </c>
      <c r="B8" s="1" t="s">
        <v>365</v>
      </c>
    </row>
    <row r="9" spans="1:15" x14ac:dyDescent="0.2">
      <c r="A9" s="22"/>
    </row>
    <row r="10" spans="1:15" x14ac:dyDescent="0.2">
      <c r="A10" s="22" t="s">
        <v>36</v>
      </c>
      <c r="B10" s="33">
        <v>44377</v>
      </c>
      <c r="C10" s="33">
        <v>44286</v>
      </c>
      <c r="D10" s="33">
        <v>44196</v>
      </c>
      <c r="E10" s="33">
        <v>44104</v>
      </c>
      <c r="F10" s="33">
        <v>44012</v>
      </c>
      <c r="G10" s="33">
        <v>43921</v>
      </c>
      <c r="H10" s="33">
        <v>43830</v>
      </c>
      <c r="I10" s="33">
        <v>43738</v>
      </c>
      <c r="J10" s="33">
        <v>43646</v>
      </c>
      <c r="K10" s="33">
        <v>43555</v>
      </c>
      <c r="L10" s="33">
        <f>EOMONTH(K10,-3)</f>
        <v>43465</v>
      </c>
      <c r="M10" s="33">
        <f t="shared" ref="M10:O10" si="0">EOMONTH(L10,-3)</f>
        <v>43373</v>
      </c>
      <c r="N10" s="33">
        <f t="shared" si="0"/>
        <v>43281</v>
      </c>
      <c r="O10" s="33">
        <f t="shared" si="0"/>
        <v>43190</v>
      </c>
    </row>
    <row r="12" spans="1:15" x14ac:dyDescent="0.2">
      <c r="A12" s="15" t="s">
        <v>35</v>
      </c>
      <c r="B12" s="19">
        <v>110.95</v>
      </c>
      <c r="C12" s="19">
        <v>83.78</v>
      </c>
      <c r="D12" s="19">
        <v>98.401999999999958</v>
      </c>
      <c r="E12" s="19">
        <v>110.136</v>
      </c>
      <c r="F12" s="19">
        <v>74.399000000000015</v>
      </c>
      <c r="G12" s="19">
        <v>42.581000000000003</v>
      </c>
      <c r="H12" s="19">
        <v>49.484000000000037</v>
      </c>
      <c r="I12" s="19">
        <v>82.387</v>
      </c>
      <c r="J12" s="19">
        <v>76.650999999999996</v>
      </c>
      <c r="K12" s="19">
        <v>67.369</v>
      </c>
      <c r="L12" s="19"/>
      <c r="M12" s="19">
        <v>93.483999999999995</v>
      </c>
      <c r="N12" s="19">
        <v>67.835999999999999</v>
      </c>
      <c r="O12" s="19">
        <f>135.785-N12</f>
        <v>67.948999999999998</v>
      </c>
    </row>
    <row r="13" spans="1:15" s="28" customFormat="1" x14ac:dyDescent="0.2">
      <c r="A13" s="28" t="s">
        <v>34</v>
      </c>
      <c r="B13" s="28">
        <f t="shared" ref="B13:K13" si="1">+B12/F12-1</f>
        <v>0.49128348499307761</v>
      </c>
      <c r="C13" s="28">
        <f t="shared" si="1"/>
        <v>0.96754420985885714</v>
      </c>
      <c r="D13" s="28">
        <f t="shared" si="1"/>
        <v>0.98856195942122471</v>
      </c>
      <c r="E13" s="28">
        <f t="shared" si="1"/>
        <v>0.33681284668697731</v>
      </c>
      <c r="F13" s="28">
        <f t="shared" si="1"/>
        <v>-2.9379916765599701E-2</v>
      </c>
      <c r="G13" s="28">
        <f t="shared" si="1"/>
        <v>-0.36794371298371653</v>
      </c>
      <c r="I13" s="28">
        <f t="shared" si="1"/>
        <v>-0.11870480510033798</v>
      </c>
      <c r="J13" s="28">
        <f t="shared" si="1"/>
        <v>0.12994575151836774</v>
      </c>
      <c r="K13" s="28">
        <f t="shared" si="1"/>
        <v>-8.5358136249245042E-3</v>
      </c>
    </row>
    <row r="14" spans="1:15" s="23" customFormat="1" x14ac:dyDescent="0.2">
      <c r="A14" s="31" t="s">
        <v>33</v>
      </c>
      <c r="B14" s="32" t="s">
        <v>32</v>
      </c>
      <c r="C14" s="32" t="s">
        <v>32</v>
      </c>
      <c r="D14" s="32" t="s">
        <v>32</v>
      </c>
      <c r="E14" s="32" t="s">
        <v>32</v>
      </c>
      <c r="F14" s="32" t="s">
        <v>32</v>
      </c>
      <c r="G14" s="32" t="s">
        <v>32</v>
      </c>
      <c r="H14" s="32"/>
      <c r="I14" s="32" t="s">
        <v>32</v>
      </c>
      <c r="J14" s="32" t="s">
        <v>32</v>
      </c>
      <c r="K14" s="32" t="s">
        <v>32</v>
      </c>
      <c r="L14" s="32"/>
      <c r="M14" s="32"/>
      <c r="N14" s="32"/>
      <c r="O14" s="31"/>
    </row>
    <row r="16" spans="1:15" s="22" customFormat="1" x14ac:dyDescent="0.2">
      <c r="A16" s="30" t="s">
        <v>31</v>
      </c>
      <c r="B16" s="29">
        <v>31.707000000000001</v>
      </c>
      <c r="C16" s="29">
        <v>18.324999999999999</v>
      </c>
      <c r="D16" s="29">
        <v>17.400000000000006</v>
      </c>
      <c r="E16" s="29">
        <v>24.693000000000001</v>
      </c>
      <c r="F16" s="29">
        <v>22.134</v>
      </c>
      <c r="G16" s="29">
        <v>11.44</v>
      </c>
      <c r="H16" s="29">
        <v>13.374999999999993</v>
      </c>
      <c r="I16" s="29">
        <v>19.533000000000001</v>
      </c>
      <c r="J16" s="29">
        <v>17.059999999999999</v>
      </c>
      <c r="K16" s="29">
        <f>28.553-J16</f>
        <v>11.493000000000002</v>
      </c>
      <c r="L16" s="29"/>
      <c r="M16" s="29">
        <v>19.015999999999998</v>
      </c>
      <c r="N16" s="29">
        <v>14.823</v>
      </c>
      <c r="O16" s="29">
        <f>28.748-N16</f>
        <v>13.925000000000001</v>
      </c>
    </row>
    <row r="17" spans="1:15" s="28" customFormat="1" x14ac:dyDescent="0.2">
      <c r="A17" s="28" t="s">
        <v>30</v>
      </c>
      <c r="B17" s="28">
        <f t="shared" ref="B17:C17" si="2">+B16/B12</f>
        <v>0.28577737719693558</v>
      </c>
      <c r="C17" s="28">
        <f t="shared" si="2"/>
        <v>0.2187276199570303</v>
      </c>
      <c r="D17" s="28">
        <f t="shared" ref="D17:E17" si="3">+D16/D12</f>
        <v>0.17682567427491325</v>
      </c>
      <c r="E17" s="28">
        <f t="shared" si="3"/>
        <v>0.2242046197428634</v>
      </c>
      <c r="F17" s="28">
        <f t="shared" ref="F17:G17" si="4">+F16/F12</f>
        <v>0.29750399870966004</v>
      </c>
      <c r="G17" s="28">
        <f t="shared" si="4"/>
        <v>0.26866442779643501</v>
      </c>
      <c r="H17" s="28">
        <f t="shared" ref="H17:I17" si="5">+H16/H12</f>
        <v>0.27028938646835304</v>
      </c>
      <c r="I17" s="28">
        <f t="shared" si="5"/>
        <v>0.23708837559323681</v>
      </c>
      <c r="J17" s="28">
        <f t="shared" ref="J17:K17" si="6">+J16/J12</f>
        <v>0.22256722025805273</v>
      </c>
      <c r="K17" s="28">
        <f t="shared" si="6"/>
        <v>0.17059775267556299</v>
      </c>
      <c r="M17" s="28">
        <f t="shared" ref="M17" si="7">+M16/M12</f>
        <v>0.20341448804073423</v>
      </c>
      <c r="N17" s="28">
        <f t="shared" ref="N17:O17" si="8">+N16/N12</f>
        <v>0.21851229435697861</v>
      </c>
      <c r="O17" s="28">
        <f t="shared" si="8"/>
        <v>0.20493311159840472</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v>0</v>
      </c>
      <c r="K19" s="19">
        <v>0</v>
      </c>
      <c r="L19" s="19"/>
      <c r="M19" s="19">
        <v>0</v>
      </c>
      <c r="N19" s="19">
        <v>0</v>
      </c>
      <c r="O19" s="19">
        <v>0</v>
      </c>
    </row>
    <row r="20" spans="1:15" s="23" customFormat="1" x14ac:dyDescent="0.2">
      <c r="A20" s="15" t="s">
        <v>28</v>
      </c>
      <c r="B20" s="19">
        <v>0</v>
      </c>
      <c r="C20" s="19">
        <v>0</v>
      </c>
      <c r="D20" s="19">
        <v>0</v>
      </c>
      <c r="E20" s="19">
        <v>0</v>
      </c>
      <c r="F20" s="19">
        <v>0</v>
      </c>
      <c r="G20" s="19">
        <v>0</v>
      </c>
      <c r="H20" s="19">
        <v>0</v>
      </c>
      <c r="I20" s="19">
        <v>0</v>
      </c>
      <c r="J20" s="19">
        <v>0</v>
      </c>
      <c r="K20" s="19">
        <v>0</v>
      </c>
      <c r="L20" s="19"/>
      <c r="M20" s="19">
        <v>0</v>
      </c>
      <c r="N20" s="19">
        <v>0</v>
      </c>
      <c r="O20" s="19">
        <v>0</v>
      </c>
    </row>
    <row r="21" spans="1:15" s="23" customFormat="1" x14ac:dyDescent="0.2">
      <c r="A21" s="15" t="s">
        <v>18</v>
      </c>
      <c r="B21" s="19">
        <v>0</v>
      </c>
      <c r="C21" s="19">
        <v>0</v>
      </c>
      <c r="D21" s="19">
        <v>0</v>
      </c>
      <c r="E21" s="19">
        <v>0</v>
      </c>
      <c r="F21" s="19">
        <v>0</v>
      </c>
      <c r="G21" s="19">
        <v>0</v>
      </c>
      <c r="H21" s="19">
        <v>0</v>
      </c>
      <c r="I21" s="19">
        <v>0</v>
      </c>
      <c r="J21" s="19">
        <v>0</v>
      </c>
      <c r="K21" s="19">
        <v>0</v>
      </c>
      <c r="L21" s="19"/>
      <c r="M21" s="19">
        <v>0</v>
      </c>
      <c r="N21" s="19">
        <v>0</v>
      </c>
      <c r="O21" s="19">
        <v>0</v>
      </c>
    </row>
    <row r="22" spans="1:15" s="22" customFormat="1" x14ac:dyDescent="0.2">
      <c r="A22" s="22" t="s">
        <v>23</v>
      </c>
      <c r="B22" s="20">
        <f t="shared" ref="B22:C22" si="9">SUM(B16,B19:B21)</f>
        <v>31.707000000000001</v>
      </c>
      <c r="C22" s="20">
        <f t="shared" si="9"/>
        <v>18.324999999999999</v>
      </c>
      <c r="D22" s="20">
        <f t="shared" ref="D22:E22" si="10">SUM(D16,D19:D21)</f>
        <v>17.400000000000006</v>
      </c>
      <c r="E22" s="20">
        <f t="shared" si="10"/>
        <v>24.693000000000001</v>
      </c>
      <c r="F22" s="20">
        <f t="shared" ref="F22:G22" si="11">SUM(F16,F19:F21)</f>
        <v>22.134</v>
      </c>
      <c r="G22" s="20">
        <f t="shared" si="11"/>
        <v>11.44</v>
      </c>
      <c r="H22" s="20">
        <f t="shared" ref="H22:I22" si="12">SUM(H16,H19:H21)</f>
        <v>13.374999999999993</v>
      </c>
      <c r="I22" s="20">
        <f t="shared" si="12"/>
        <v>19.533000000000001</v>
      </c>
      <c r="J22" s="20">
        <f t="shared" ref="J22:K22" si="13">SUM(J16,J19:J21)</f>
        <v>17.059999999999999</v>
      </c>
      <c r="K22" s="20">
        <f t="shared" si="13"/>
        <v>11.493000000000002</v>
      </c>
      <c r="L22" s="20"/>
      <c r="M22" s="20">
        <f t="shared" ref="M22" si="14">SUM(M16,M19:M21)</f>
        <v>19.015999999999998</v>
      </c>
      <c r="N22" s="20">
        <f t="shared" ref="N22:O22" si="15">SUM(N16,N19:N21)</f>
        <v>14.823</v>
      </c>
      <c r="O22" s="20">
        <f t="shared" si="15"/>
        <v>13.925000000000001</v>
      </c>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20">
        <f t="shared" ref="B24:H24" si="16">SUM(B22:E22)</f>
        <v>92.125</v>
      </c>
      <c r="C24" s="20">
        <f t="shared" si="16"/>
        <v>82.552000000000007</v>
      </c>
      <c r="D24" s="20">
        <f t="shared" si="16"/>
        <v>75.667000000000002</v>
      </c>
      <c r="E24" s="20">
        <f t="shared" si="16"/>
        <v>71.641999999999996</v>
      </c>
      <c r="F24" s="20">
        <f t="shared" si="16"/>
        <v>66.481999999999999</v>
      </c>
      <c r="G24" s="20">
        <f t="shared" si="16"/>
        <v>61.407999999999987</v>
      </c>
      <c r="H24" s="20">
        <f t="shared" si="16"/>
        <v>61.460999999999991</v>
      </c>
      <c r="I24" s="20"/>
      <c r="J24" s="20"/>
      <c r="K24" s="20"/>
      <c r="L24" s="20"/>
      <c r="M24" s="20"/>
      <c r="N24" s="20"/>
      <c r="O24" s="20"/>
    </row>
    <row r="25" spans="1:15" s="23" customFormat="1" x14ac:dyDescent="0.2">
      <c r="A25" s="15" t="s">
        <v>26</v>
      </c>
      <c r="B25" s="27">
        <f>118.382-B24</f>
        <v>26.257000000000005</v>
      </c>
      <c r="C25" s="27">
        <f>95.109-C24</f>
        <v>12.556999999999988</v>
      </c>
      <c r="D25" s="27">
        <f>80.8-D24</f>
        <v>5.1329999999999956</v>
      </c>
      <c r="E25" s="27">
        <f>80.8-E24</f>
        <v>9.1580000000000013</v>
      </c>
      <c r="F25" s="27">
        <f>78.1-F24</f>
        <v>11.617999999999995</v>
      </c>
      <c r="G25" s="27">
        <f>63.145-G24</f>
        <v>1.7370000000000161</v>
      </c>
      <c r="H25" s="27">
        <v>0</v>
      </c>
      <c r="I25" s="27"/>
      <c r="J25" s="27"/>
      <c r="K25" s="27"/>
      <c r="L25" s="27"/>
      <c r="M25" s="27"/>
      <c r="N25" s="27"/>
      <c r="O25" s="27"/>
    </row>
    <row r="26" spans="1:15" s="23" customFormat="1" x14ac:dyDescent="0.2">
      <c r="A26" s="15" t="s">
        <v>25</v>
      </c>
      <c r="B26" s="21">
        <v>0</v>
      </c>
      <c r="C26" s="21">
        <v>0</v>
      </c>
      <c r="D26" s="21">
        <v>0</v>
      </c>
      <c r="E26" s="21">
        <v>0</v>
      </c>
      <c r="F26" s="21">
        <v>0</v>
      </c>
      <c r="G26" s="21">
        <v>0</v>
      </c>
      <c r="H26" s="21">
        <v>0</v>
      </c>
      <c r="I26" s="21"/>
      <c r="J26" s="21"/>
      <c r="K26" s="21"/>
      <c r="L26" s="21"/>
      <c r="M26" s="21"/>
      <c r="N26" s="21"/>
      <c r="O26" s="21"/>
    </row>
    <row r="27" spans="1:15" s="24" customFormat="1" x14ac:dyDescent="0.2">
      <c r="A27" s="22" t="s">
        <v>24</v>
      </c>
      <c r="B27" s="20">
        <f t="shared" ref="B27" si="17">B24+B25+B26</f>
        <v>118.38200000000001</v>
      </c>
      <c r="C27" s="20">
        <f t="shared" ref="C27:H27" si="18">C24+C25+C26</f>
        <v>95.108999999999995</v>
      </c>
      <c r="D27" s="20">
        <f t="shared" si="18"/>
        <v>80.8</v>
      </c>
      <c r="E27" s="20">
        <f t="shared" si="18"/>
        <v>80.8</v>
      </c>
      <c r="F27" s="20">
        <f t="shared" si="18"/>
        <v>78.099999999999994</v>
      </c>
      <c r="G27" s="20">
        <f t="shared" si="18"/>
        <v>63.145000000000003</v>
      </c>
      <c r="H27" s="20">
        <f t="shared" si="18"/>
        <v>61.460999999999991</v>
      </c>
      <c r="I27" s="20"/>
      <c r="J27" s="20"/>
      <c r="K27" s="20"/>
      <c r="L27" s="20"/>
      <c r="M27" s="20"/>
      <c r="N27" s="20"/>
      <c r="O27" s="20"/>
    </row>
    <row r="28" spans="1:15" s="23" customFormat="1" x14ac:dyDescent="0.2"/>
    <row r="29" spans="1:15" s="22" customFormat="1" x14ac:dyDescent="0.2">
      <c r="A29" s="22" t="s">
        <v>23</v>
      </c>
      <c r="B29" s="20">
        <f t="shared" ref="B29:C29" si="19">B22</f>
        <v>31.707000000000001</v>
      </c>
      <c r="C29" s="20">
        <f t="shared" si="19"/>
        <v>18.324999999999999</v>
      </c>
      <c r="D29" s="20">
        <f t="shared" ref="D29" si="20">D22</f>
        <v>17.400000000000006</v>
      </c>
      <c r="E29" s="20">
        <f t="shared" ref="E29:J29" si="21">E22</f>
        <v>24.693000000000001</v>
      </c>
      <c r="F29" s="20">
        <f t="shared" si="21"/>
        <v>22.134</v>
      </c>
      <c r="G29" s="20">
        <f t="shared" si="21"/>
        <v>11.44</v>
      </c>
      <c r="H29" s="20">
        <f t="shared" si="21"/>
        <v>13.374999999999993</v>
      </c>
      <c r="I29" s="20">
        <f t="shared" si="21"/>
        <v>19.533000000000001</v>
      </c>
      <c r="J29" s="20">
        <f t="shared" si="21"/>
        <v>17.059999999999999</v>
      </c>
      <c r="K29" s="20"/>
      <c r="L29" s="20"/>
      <c r="M29" s="20"/>
      <c r="N29" s="20"/>
      <c r="O29" s="20"/>
    </row>
    <row r="30" spans="1:15" s="11" customFormat="1" x14ac:dyDescent="0.2">
      <c r="A30" s="19" t="s">
        <v>22</v>
      </c>
      <c r="B30" s="19">
        <v>-8.0440000000000005</v>
      </c>
      <c r="C30" s="19">
        <v>-6.7389999999999999</v>
      </c>
      <c r="D30" s="19">
        <v>-6.1069999999999993</v>
      </c>
      <c r="E30" s="19">
        <v>-6.1629999999999994</v>
      </c>
      <c r="F30" s="19">
        <v>-7.0929999999999991</v>
      </c>
      <c r="G30" s="19">
        <v>-7.0720000000000001</v>
      </c>
      <c r="H30" s="19">
        <v>-13.584999999999997</v>
      </c>
      <c r="I30" s="19">
        <v>-7.7310000000000008</v>
      </c>
      <c r="J30" s="19">
        <v>-5.6239999999999997</v>
      </c>
      <c r="K30" s="19"/>
      <c r="L30" s="19"/>
      <c r="M30" s="19"/>
      <c r="N30" s="19"/>
      <c r="O30" s="19"/>
    </row>
    <row r="31" spans="1:15" s="11" customFormat="1" x14ac:dyDescent="0.2">
      <c r="A31" s="19" t="s">
        <v>21</v>
      </c>
      <c r="B31" s="19">
        <v>0</v>
      </c>
      <c r="C31" s="19">
        <v>0</v>
      </c>
      <c r="D31" s="19">
        <v>0</v>
      </c>
      <c r="E31" s="19">
        <v>0</v>
      </c>
      <c r="F31" s="19">
        <v>0</v>
      </c>
      <c r="G31" s="19">
        <v>0</v>
      </c>
      <c r="H31" s="19">
        <v>0</v>
      </c>
      <c r="I31" s="19">
        <v>0</v>
      </c>
      <c r="J31" s="19">
        <v>0</v>
      </c>
      <c r="K31" s="19"/>
      <c r="L31" s="19"/>
      <c r="M31" s="19"/>
      <c r="N31" s="19"/>
      <c r="O31" s="19"/>
    </row>
    <row r="32" spans="1:15" s="11" customFormat="1" x14ac:dyDescent="0.2">
      <c r="A32" s="19" t="s">
        <v>20</v>
      </c>
      <c r="B32" s="19">
        <v>-6.3070000000000013</v>
      </c>
      <c r="C32" s="19">
        <v>-4.0519999999999996</v>
      </c>
      <c r="D32" s="19">
        <v>32.268000000000008</v>
      </c>
      <c r="E32" s="19">
        <v>2.3299999999999912</v>
      </c>
      <c r="F32" s="19">
        <v>-10.447999999999988</v>
      </c>
      <c r="G32" s="19">
        <v>4.9580000000000002</v>
      </c>
      <c r="H32" s="19">
        <v>45.674999999999997</v>
      </c>
      <c r="I32" s="19">
        <f>-5.612+4.546-0.241+0.498-3.654+7.366</f>
        <v>2.9029999999999996</v>
      </c>
      <c r="J32" s="19">
        <f>-14.039-1.219-2.482+4.674+3.067</f>
        <v>-9.9989999999999988</v>
      </c>
      <c r="K32" s="19"/>
      <c r="L32" s="19"/>
      <c r="M32" s="19"/>
      <c r="N32" s="19"/>
      <c r="O32" s="19"/>
    </row>
    <row r="33" spans="1:15" s="11" customFormat="1" x14ac:dyDescent="0.2">
      <c r="A33" s="19" t="s">
        <v>19</v>
      </c>
      <c r="B33" s="19">
        <v>0</v>
      </c>
      <c r="C33" s="19">
        <v>0</v>
      </c>
      <c r="D33" s="19">
        <v>0</v>
      </c>
      <c r="E33" s="19">
        <v>0</v>
      </c>
      <c r="F33" s="19">
        <v>0</v>
      </c>
      <c r="G33" s="19">
        <v>0</v>
      </c>
      <c r="H33" s="19">
        <v>0</v>
      </c>
      <c r="I33" s="19">
        <v>0</v>
      </c>
      <c r="J33" s="19">
        <v>0</v>
      </c>
      <c r="K33" s="19"/>
      <c r="L33" s="19"/>
      <c r="M33" s="19"/>
      <c r="N33" s="19"/>
      <c r="O33" s="19"/>
    </row>
    <row r="34" spans="1:15" s="11" customFormat="1" x14ac:dyDescent="0.2">
      <c r="A34" s="19" t="s">
        <v>18</v>
      </c>
      <c r="B34" s="21">
        <v>0</v>
      </c>
      <c r="C34" s="21">
        <v>0</v>
      </c>
      <c r="D34" s="21">
        <v>0</v>
      </c>
      <c r="E34" s="21">
        <v>0</v>
      </c>
      <c r="F34" s="21">
        <v>0</v>
      </c>
      <c r="G34" s="21">
        <v>0</v>
      </c>
      <c r="H34" s="21">
        <v>0</v>
      </c>
      <c r="I34" s="21">
        <v>0</v>
      </c>
      <c r="J34" s="21">
        <v>0</v>
      </c>
      <c r="K34" s="21"/>
      <c r="L34" s="21"/>
      <c r="M34" s="21"/>
      <c r="N34" s="21"/>
      <c r="O34" s="21"/>
    </row>
    <row r="35" spans="1:15" s="20" customFormat="1" x14ac:dyDescent="0.2">
      <c r="A35" s="20" t="s">
        <v>17</v>
      </c>
      <c r="B35" s="20">
        <v>7.3920000000000003</v>
      </c>
      <c r="C35" s="20">
        <v>4.2009999999999996</v>
      </c>
      <c r="D35" s="20">
        <v>41.338000000000001</v>
      </c>
      <c r="E35" s="20">
        <v>18.553000000000001</v>
      </c>
      <c r="F35" s="20">
        <v>1.8830000000000009</v>
      </c>
      <c r="G35" s="20">
        <v>3.0449999999999999</v>
      </c>
      <c r="H35" s="20">
        <v>51.762999999999998</v>
      </c>
      <c r="I35" s="20">
        <v>10.877000000000001</v>
      </c>
      <c r="J35" s="20">
        <v>-41.703000000000003</v>
      </c>
    </row>
    <row r="36" spans="1:15" s="11" customFormat="1" x14ac:dyDescent="0.2">
      <c r="A36" s="19" t="s">
        <v>16</v>
      </c>
      <c r="B36" s="21">
        <v>-1.4830000000000001</v>
      </c>
      <c r="C36" s="21">
        <v>-0.99199999999999999</v>
      </c>
      <c r="D36" s="21">
        <v>-1.097</v>
      </c>
      <c r="E36" s="21">
        <v>-0.55500000000000005</v>
      </c>
      <c r="F36" s="21">
        <v>-0.77599999999999991</v>
      </c>
      <c r="G36" s="21">
        <v>-0.83</v>
      </c>
      <c r="H36" s="21">
        <v>-1.5629999999999999</v>
      </c>
      <c r="I36" s="21">
        <v>-0.65500000000000003</v>
      </c>
      <c r="J36" s="21">
        <v>-0.59699999999999998</v>
      </c>
      <c r="K36" s="21"/>
      <c r="L36" s="21"/>
      <c r="M36" s="21"/>
      <c r="N36" s="21"/>
      <c r="O36" s="21"/>
    </row>
    <row r="37" spans="1:15" s="20" customFormat="1" x14ac:dyDescent="0.2">
      <c r="A37" s="20" t="s">
        <v>15</v>
      </c>
      <c r="B37" s="20">
        <f t="shared" ref="B37:J37" si="22">B35+B36</f>
        <v>5.9090000000000007</v>
      </c>
      <c r="C37" s="20">
        <f t="shared" si="22"/>
        <v>3.2089999999999996</v>
      </c>
      <c r="D37" s="20">
        <f t="shared" si="22"/>
        <v>40.241</v>
      </c>
      <c r="E37" s="20">
        <f t="shared" si="22"/>
        <v>17.998000000000001</v>
      </c>
      <c r="F37" s="20">
        <f t="shared" si="22"/>
        <v>1.1070000000000011</v>
      </c>
      <c r="G37" s="20">
        <f t="shared" si="22"/>
        <v>2.2149999999999999</v>
      </c>
      <c r="H37" s="20">
        <f t="shared" si="22"/>
        <v>50.199999999999996</v>
      </c>
      <c r="I37" s="20">
        <f t="shared" si="22"/>
        <v>10.222000000000001</v>
      </c>
      <c r="J37" s="20">
        <f t="shared" si="22"/>
        <v>-42.300000000000004</v>
      </c>
    </row>
    <row r="39" spans="1:15" s="16" customFormat="1" x14ac:dyDescent="0.2">
      <c r="A39" s="18" t="s">
        <v>14</v>
      </c>
      <c r="B39" s="19">
        <v>10</v>
      </c>
      <c r="C39" s="19">
        <v>10</v>
      </c>
      <c r="D39" s="19">
        <v>0</v>
      </c>
      <c r="E39" s="19">
        <v>0</v>
      </c>
      <c r="F39" s="19">
        <v>0</v>
      </c>
      <c r="G39" s="19">
        <v>10</v>
      </c>
      <c r="H39" s="19">
        <v>0</v>
      </c>
      <c r="I39" s="19">
        <v>0</v>
      </c>
      <c r="J39" s="19">
        <v>0</v>
      </c>
      <c r="K39" s="19">
        <v>0</v>
      </c>
      <c r="L39" s="19"/>
      <c r="M39" s="19"/>
      <c r="N39" s="19"/>
      <c r="O39" s="19"/>
    </row>
    <row r="40" spans="1:15" s="16" customFormat="1" x14ac:dyDescent="0.2">
      <c r="A40" s="18" t="s">
        <v>13</v>
      </c>
      <c r="B40" s="19">
        <v>385.5</v>
      </c>
      <c r="C40" s="19">
        <v>386.47800000000001</v>
      </c>
      <c r="D40" s="19">
        <f>368.5+17</f>
        <v>385.5</v>
      </c>
      <c r="E40" s="19">
        <v>297.75</v>
      </c>
      <c r="F40" s="19">
        <v>298.5</v>
      </c>
      <c r="G40" s="19">
        <v>299.25</v>
      </c>
      <c r="H40" s="19">
        <v>300</v>
      </c>
      <c r="I40" s="19">
        <v>299.25</v>
      </c>
      <c r="J40" s="19">
        <v>300</v>
      </c>
      <c r="K40" s="19">
        <v>300</v>
      </c>
      <c r="L40" s="19"/>
      <c r="M40" s="19"/>
      <c r="N40" s="19"/>
      <c r="O40" s="19"/>
    </row>
    <row r="41" spans="1:15" s="16" customFormat="1" x14ac:dyDescent="0.2">
      <c r="A41" s="18" t="s">
        <v>12</v>
      </c>
      <c r="B41" s="19">
        <f>+B39+B40+150</f>
        <v>545.5</v>
      </c>
      <c r="C41" s="19">
        <f>+C39+C40+150</f>
        <v>546.47800000000007</v>
      </c>
      <c r="D41" s="19">
        <f>+D39+D40+150</f>
        <v>535.5</v>
      </c>
      <c r="E41" s="19">
        <f t="shared" ref="E41:K41" si="23">E39+E40+120</f>
        <v>417.75</v>
      </c>
      <c r="F41" s="19">
        <f t="shared" si="23"/>
        <v>418.5</v>
      </c>
      <c r="G41" s="19">
        <f t="shared" si="23"/>
        <v>429.25</v>
      </c>
      <c r="H41" s="19">
        <f t="shared" si="23"/>
        <v>420</v>
      </c>
      <c r="I41" s="19">
        <f t="shared" si="23"/>
        <v>419.25</v>
      </c>
      <c r="J41" s="19">
        <f t="shared" si="23"/>
        <v>420</v>
      </c>
      <c r="K41" s="19">
        <f t="shared" si="23"/>
        <v>420</v>
      </c>
      <c r="L41" s="19"/>
      <c r="M41" s="19"/>
      <c r="N41" s="19"/>
      <c r="O41" s="19"/>
    </row>
    <row r="42" spans="1:15" s="16" customFormat="1" x14ac:dyDescent="0.2">
      <c r="A42" s="18" t="s">
        <v>11</v>
      </c>
      <c r="B42" s="17">
        <v>280</v>
      </c>
      <c r="C42" s="17">
        <v>280</v>
      </c>
      <c r="D42" s="17">
        <v>280</v>
      </c>
      <c r="E42" s="17">
        <v>280</v>
      </c>
      <c r="F42" s="17">
        <v>280</v>
      </c>
      <c r="G42" s="17">
        <v>280</v>
      </c>
      <c r="H42" s="17">
        <v>280</v>
      </c>
      <c r="I42" s="17">
        <v>280</v>
      </c>
      <c r="J42" s="17">
        <v>280</v>
      </c>
      <c r="K42" s="17">
        <v>280</v>
      </c>
      <c r="L42" s="17"/>
      <c r="M42" s="17"/>
      <c r="N42" s="17"/>
      <c r="O42" s="17"/>
    </row>
    <row r="43" spans="1:15" x14ac:dyDescent="0.2">
      <c r="B43" s="16"/>
      <c r="C43" s="16"/>
      <c r="D43" s="16"/>
      <c r="E43" s="16"/>
      <c r="F43" s="16"/>
      <c r="G43" s="16"/>
      <c r="H43" s="16"/>
      <c r="I43" s="16"/>
      <c r="J43" s="16"/>
      <c r="K43" s="16"/>
      <c r="L43" s="16"/>
      <c r="M43" s="16"/>
    </row>
    <row r="44" spans="1:15" x14ac:dyDescent="0.2">
      <c r="A44" s="15" t="s">
        <v>10</v>
      </c>
      <c r="B44" s="27">
        <v>3.2959999999999998</v>
      </c>
      <c r="C44" s="27">
        <v>8.7550000000000008</v>
      </c>
      <c r="D44" s="27">
        <v>2</v>
      </c>
      <c r="E44" s="27">
        <v>37.713000000000001</v>
      </c>
      <c r="F44" s="27"/>
      <c r="G44" s="27">
        <v>31.923999999999999</v>
      </c>
      <c r="H44" s="27">
        <v>94.566000000000003</v>
      </c>
      <c r="I44" s="27">
        <v>18.193000000000001</v>
      </c>
      <c r="J44" s="27">
        <v>12.567</v>
      </c>
      <c r="K44" s="27">
        <v>0</v>
      </c>
      <c r="L44" s="27"/>
      <c r="M44" s="27"/>
      <c r="N44" s="27"/>
      <c r="O44" s="27"/>
    </row>
    <row r="46" spans="1:15" x14ac:dyDescent="0.2">
      <c r="A46" s="1" t="s">
        <v>9</v>
      </c>
      <c r="B46" s="13">
        <f t="shared" ref="B46:H46" si="24">SUM(B12:E12)</f>
        <v>403.26799999999992</v>
      </c>
      <c r="C46" s="13">
        <f t="shared" si="24"/>
        <v>366.71699999999998</v>
      </c>
      <c r="D46" s="13">
        <f t="shared" si="24"/>
        <v>325.51799999999997</v>
      </c>
      <c r="E46" s="13">
        <f t="shared" si="24"/>
        <v>276.60000000000008</v>
      </c>
      <c r="F46" s="13">
        <f t="shared" si="24"/>
        <v>248.85100000000006</v>
      </c>
      <c r="G46" s="13">
        <f t="shared" si="24"/>
        <v>251.10300000000007</v>
      </c>
      <c r="H46" s="13">
        <f t="shared" si="24"/>
        <v>275.89100000000008</v>
      </c>
      <c r="I46" s="13">
        <f>J46+I12-M12</f>
        <v>319.91800000000001</v>
      </c>
      <c r="J46" s="13">
        <f>K46+J12-N12</f>
        <v>331.01499999999999</v>
      </c>
      <c r="K46" s="12">
        <v>322.2</v>
      </c>
      <c r="L46" s="11"/>
      <c r="M46" s="11"/>
      <c r="N46" s="11"/>
      <c r="O46" s="11"/>
    </row>
    <row r="47" spans="1:15" x14ac:dyDescent="0.2">
      <c r="A47" s="1" t="s">
        <v>8</v>
      </c>
      <c r="B47" s="13">
        <f t="shared" ref="B47" si="25">B27</f>
        <v>118.38200000000001</v>
      </c>
      <c r="C47" s="13">
        <f t="shared" ref="C47:H47" si="26">C27</f>
        <v>95.108999999999995</v>
      </c>
      <c r="D47" s="13">
        <f t="shared" si="26"/>
        <v>80.8</v>
      </c>
      <c r="E47" s="13">
        <f t="shared" si="26"/>
        <v>80.8</v>
      </c>
      <c r="F47" s="13">
        <f t="shared" si="26"/>
        <v>78.099999999999994</v>
      </c>
      <c r="G47" s="13">
        <f t="shared" si="26"/>
        <v>63.145000000000003</v>
      </c>
      <c r="H47" s="13">
        <f t="shared" si="26"/>
        <v>61.460999999999991</v>
      </c>
      <c r="I47" s="12">
        <v>63.143000000000001</v>
      </c>
      <c r="J47" s="12">
        <v>62.62</v>
      </c>
      <c r="K47" s="12">
        <v>62.1</v>
      </c>
      <c r="L47" s="11"/>
      <c r="M47" s="11"/>
      <c r="N47" s="11"/>
      <c r="O47" s="11"/>
    </row>
    <row r="48" spans="1:15" x14ac:dyDescent="0.2">
      <c r="A48" s="1" t="s">
        <v>7</v>
      </c>
      <c r="B48" s="13">
        <f t="shared" ref="B48:G48" si="27">SUM(B37:E37)</f>
        <v>67.356999999999999</v>
      </c>
      <c r="C48" s="13">
        <f t="shared" si="27"/>
        <v>62.555000000000007</v>
      </c>
      <c r="D48" s="13">
        <f t="shared" si="27"/>
        <v>61.561000000000007</v>
      </c>
      <c r="E48" s="13">
        <f t="shared" si="27"/>
        <v>71.52</v>
      </c>
      <c r="F48" s="13">
        <f t="shared" si="27"/>
        <v>63.744</v>
      </c>
      <c r="G48" s="13">
        <f t="shared" si="27"/>
        <v>20.336999999999989</v>
      </c>
      <c r="H48" s="12">
        <f>9.224+11.713-2.344-0.471</f>
        <v>18.121999999999996</v>
      </c>
      <c r="I48" s="13">
        <f>I47*J48/J47</f>
        <v>25.501230917874402</v>
      </c>
      <c r="J48" s="13">
        <f>J47*K48/K47</f>
        <v>25.290009661835754</v>
      </c>
      <c r="K48" s="12">
        <v>25.080000000000005</v>
      </c>
      <c r="L48" s="11"/>
      <c r="M48" s="11"/>
      <c r="N48" s="11"/>
      <c r="O48" s="11"/>
    </row>
    <row r="50" spans="1:15" s="10" customFormat="1" x14ac:dyDescent="0.2">
      <c r="A50" s="10" t="s">
        <v>6</v>
      </c>
      <c r="B50" s="10">
        <f t="shared" ref="B50:C50" si="28">+SUM(B39:B40)/B47</f>
        <v>3.3408795256035546</v>
      </c>
      <c r="C50" s="10">
        <f t="shared" si="28"/>
        <v>4.1686696316857503</v>
      </c>
      <c r="D50" s="10">
        <f t="shared" ref="D50" si="29">+SUM(D39:D40)/D47</f>
        <v>4.7710396039603964</v>
      </c>
      <c r="E50" s="10">
        <f t="shared" ref="E50:K50" si="30">+SUM(E39:E40)/E47</f>
        <v>3.6850247524752477</v>
      </c>
      <c r="F50" s="10">
        <f t="shared" si="30"/>
        <v>3.8220230473751604</v>
      </c>
      <c r="G50" s="10">
        <f t="shared" si="30"/>
        <v>4.8974582310555066</v>
      </c>
      <c r="H50" s="10">
        <f t="shared" si="30"/>
        <v>4.8811441401864606</v>
      </c>
      <c r="I50" s="10">
        <f t="shared" si="30"/>
        <v>4.7392426713966707</v>
      </c>
      <c r="J50" s="10">
        <f t="shared" si="30"/>
        <v>4.7908016608112423</v>
      </c>
      <c r="K50" s="10">
        <f t="shared" si="30"/>
        <v>4.8309178743961354</v>
      </c>
    </row>
    <row r="51" spans="1:15" s="10" customFormat="1" x14ac:dyDescent="0.2">
      <c r="A51" s="10" t="s">
        <v>5</v>
      </c>
      <c r="B51" s="10">
        <f t="shared" ref="B51:C51" si="31">+B41/B47</f>
        <v>4.6079640485884674</v>
      </c>
      <c r="C51" s="10">
        <f t="shared" si="31"/>
        <v>5.7458074419876155</v>
      </c>
      <c r="D51" s="10">
        <f t="shared" ref="D51" si="32">+D41/D47</f>
        <v>6.6274752475247531</v>
      </c>
      <c r="E51" s="10">
        <f t="shared" ref="E51:K51" si="33">+E41/E47</f>
        <v>5.1701732673267324</v>
      </c>
      <c r="F51" s="10">
        <f t="shared" si="33"/>
        <v>5.3585147247119078</v>
      </c>
      <c r="G51" s="10">
        <f t="shared" si="33"/>
        <v>6.7978462269379998</v>
      </c>
      <c r="H51" s="10">
        <f t="shared" si="33"/>
        <v>6.8336017962610445</v>
      </c>
      <c r="I51" s="10">
        <f t="shared" si="33"/>
        <v>6.6396908604279172</v>
      </c>
      <c r="J51" s="10">
        <f t="shared" si="33"/>
        <v>6.7071223251357397</v>
      </c>
      <c r="K51" s="10">
        <f t="shared" si="33"/>
        <v>6.7632850241545892</v>
      </c>
    </row>
    <row r="52" spans="1:15" s="10" customFormat="1" x14ac:dyDescent="0.2">
      <c r="A52" s="10" t="s">
        <v>4</v>
      </c>
      <c r="B52" s="10">
        <f t="shared" ref="B52:C52" si="34">+(B41-B44)/B47</f>
        <v>4.5801219780034117</v>
      </c>
      <c r="C52" s="10">
        <f t="shared" si="34"/>
        <v>5.6537551651263298</v>
      </c>
      <c r="D52" s="10">
        <f t="shared" ref="D52" si="35">+(D41-D44)/D47</f>
        <v>6.6027227722772279</v>
      </c>
      <c r="E52" s="10">
        <f t="shared" ref="E52:K52" si="36">+(E41-E44)/E47</f>
        <v>4.7034282178217817</v>
      </c>
      <c r="F52" s="10">
        <f t="shared" si="36"/>
        <v>5.3585147247119078</v>
      </c>
      <c r="G52" s="10">
        <f t="shared" si="36"/>
        <v>6.2922796737667275</v>
      </c>
      <c r="H52" s="10">
        <f t="shared" si="36"/>
        <v>5.2949675403914682</v>
      </c>
      <c r="I52" s="10">
        <f t="shared" si="36"/>
        <v>6.3515670779025388</v>
      </c>
      <c r="J52" s="10">
        <f t="shared" si="36"/>
        <v>6.5064356435643562</v>
      </c>
      <c r="K52" s="10">
        <f t="shared" si="36"/>
        <v>6.7632850241545892</v>
      </c>
    </row>
    <row r="53" spans="1:15" s="6" customFormat="1" x14ac:dyDescent="0.2">
      <c r="A53" s="6" t="s">
        <v>3</v>
      </c>
      <c r="B53" s="6">
        <f t="shared" ref="B53:C53" si="37">+B48/B41</f>
        <v>0.1234775435380385</v>
      </c>
      <c r="C53" s="6">
        <f t="shared" si="37"/>
        <v>0.11446938394592279</v>
      </c>
      <c r="D53" s="6">
        <f t="shared" ref="D53" si="38">+D48/D41</f>
        <v>0.11495985060690944</v>
      </c>
      <c r="E53" s="6">
        <f t="shared" ref="E53:K53" si="39">+E48/E41</f>
        <v>0.1712028725314183</v>
      </c>
      <c r="F53" s="6">
        <f t="shared" si="39"/>
        <v>0.15231541218637992</v>
      </c>
      <c r="G53" s="6">
        <f t="shared" si="39"/>
        <v>4.7377984857309235E-2</v>
      </c>
      <c r="H53" s="6">
        <f t="shared" si="39"/>
        <v>4.3147619047619039E-2</v>
      </c>
      <c r="I53" s="6">
        <f t="shared" si="39"/>
        <v>6.0825834031900783E-2</v>
      </c>
      <c r="J53" s="6">
        <f t="shared" si="39"/>
        <v>6.0214308718656559E-2</v>
      </c>
      <c r="K53" s="6">
        <f t="shared" si="39"/>
        <v>5.9714285714285727E-2</v>
      </c>
    </row>
    <row r="54" spans="1:15" s="6" customFormat="1" x14ac:dyDescent="0.2">
      <c r="A54" s="8" t="s">
        <v>2</v>
      </c>
      <c r="B54" s="9"/>
      <c r="C54" s="9"/>
      <c r="D54" s="9"/>
      <c r="E54" s="9"/>
      <c r="F54" s="9"/>
      <c r="G54" s="9"/>
      <c r="H54" s="9"/>
      <c r="I54" s="9"/>
      <c r="J54" s="9"/>
      <c r="K54" s="9"/>
      <c r="L54" s="9"/>
      <c r="M54" s="9"/>
      <c r="N54" s="9"/>
      <c r="O54" s="9"/>
    </row>
    <row r="55" spans="1:15" s="6" customFormat="1" x14ac:dyDescent="0.2">
      <c r="A55" s="6" t="s">
        <v>1</v>
      </c>
      <c r="B55" s="7">
        <f t="shared" ref="B55:C55" si="40">IF(B42=0,IF(B54="","","*"&amp;TEXT(B54,"0.0x")),(B41+B42-B44)/B47)</f>
        <v>6.9453464209085833</v>
      </c>
      <c r="C55" s="7">
        <f t="shared" si="40"/>
        <v>8.5977457443564766</v>
      </c>
      <c r="D55" s="7">
        <f t="shared" ref="D55" si="41">IF(D42=0,IF(D54="","","*"&amp;TEXT(D54,"0.0x")),(D41+D42-D44)/D47)</f>
        <v>10.068069306930694</v>
      </c>
      <c r="E55" s="7">
        <f t="shared" ref="E55:K55" si="42">IF(E42=0,IF(E54="","","*"&amp;TEXT(E54,"0.0x")),(E41+E42-E44)/E47)</f>
        <v>8.1687747524752474</v>
      </c>
      <c r="F55" s="7">
        <f t="shared" si="42"/>
        <v>8.943661971830986</v>
      </c>
      <c r="G55" s="7">
        <f t="shared" si="42"/>
        <v>10.726518330825877</v>
      </c>
      <c r="H55" s="7">
        <f t="shared" si="42"/>
        <v>9.8507020712321651</v>
      </c>
      <c r="I55" s="7">
        <f t="shared" si="42"/>
        <v>10.785946185642114</v>
      </c>
      <c r="J55" s="7">
        <f t="shared" si="42"/>
        <v>10.977850526988183</v>
      </c>
      <c r="K55" s="7">
        <f t="shared" si="42"/>
        <v>11.272141706924316</v>
      </c>
      <c r="L55" s="7"/>
      <c r="M55" s="7"/>
      <c r="N55" s="7"/>
      <c r="O55" s="7"/>
    </row>
    <row r="56" spans="1:15" x14ac:dyDescent="0.2">
      <c r="O56" s="3"/>
    </row>
    <row r="57" spans="1:15" ht="80.25" customHeight="1" x14ac:dyDescent="0.2">
      <c r="A57" s="5" t="s">
        <v>0</v>
      </c>
      <c r="B57" s="4" t="s">
        <v>104</v>
      </c>
      <c r="C57" s="4" t="s">
        <v>104</v>
      </c>
      <c r="D57" s="4" t="s">
        <v>610</v>
      </c>
      <c r="E57" s="4" t="s">
        <v>104</v>
      </c>
      <c r="F57" s="4" t="s">
        <v>104</v>
      </c>
      <c r="G57" s="4" t="s">
        <v>367</v>
      </c>
      <c r="H57" s="4" t="s">
        <v>235</v>
      </c>
      <c r="I57" s="4" t="s">
        <v>104</v>
      </c>
      <c r="J57" s="4" t="s">
        <v>104</v>
      </c>
      <c r="K57" s="4" t="s">
        <v>104</v>
      </c>
      <c r="L57" s="4"/>
      <c r="M57" s="4"/>
      <c r="N57" s="4"/>
      <c r="O57" s="4"/>
    </row>
    <row r="58" spans="1:15" x14ac:dyDescent="0.2">
      <c r="A58" s="2"/>
      <c r="B58" s="3"/>
      <c r="C58" s="3"/>
      <c r="D58" s="3"/>
      <c r="E58" s="3"/>
      <c r="F58" s="3"/>
      <c r="G58" s="3"/>
      <c r="H58" s="3"/>
      <c r="I58" s="3"/>
      <c r="J58" s="3"/>
      <c r="K58" s="3"/>
    </row>
    <row r="59" spans="1:15" x14ac:dyDescent="0.2">
      <c r="A59" s="2"/>
    </row>
  </sheetData>
  <pageMargins left="0.7" right="0.7" top="0.75" bottom="0.75" header="0.3" footer="0.3"/>
  <pageSetup orientation="portrait" r:id="rId1"/>
  <ignoredErrors>
    <ignoredError sqref="C46:L57" formulaRange="1"/>
  </ignoredErrors>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2:S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9" width="10.7109375" style="1" customWidth="1"/>
    <col min="20" max="16384" width="9.140625" style="1"/>
  </cols>
  <sheetData>
    <row r="2" spans="1:19" x14ac:dyDescent="0.2">
      <c r="A2" s="34" t="s">
        <v>45</v>
      </c>
      <c r="B2" s="1" t="s">
        <v>405</v>
      </c>
    </row>
    <row r="3" spans="1:19" s="35" customFormat="1" x14ac:dyDescent="0.2">
      <c r="A3" s="36" t="s">
        <v>43</v>
      </c>
      <c r="B3" s="35" t="s">
        <v>390</v>
      </c>
    </row>
    <row r="4" spans="1:19" x14ac:dyDescent="0.2">
      <c r="A4" s="34" t="s">
        <v>41</v>
      </c>
      <c r="B4" s="1" t="s">
        <v>40</v>
      </c>
    </row>
    <row r="5" spans="1:19" x14ac:dyDescent="0.2">
      <c r="A5" s="34" t="s">
        <v>39</v>
      </c>
    </row>
    <row r="6" spans="1:19" x14ac:dyDescent="0.2">
      <c r="A6" s="34" t="s">
        <v>38</v>
      </c>
      <c r="B6" s="1">
        <v>2</v>
      </c>
    </row>
    <row r="7" spans="1:19" x14ac:dyDescent="0.2">
      <c r="A7" s="34" t="s">
        <v>37</v>
      </c>
      <c r="B7" s="1" t="s">
        <v>392</v>
      </c>
    </row>
    <row r="8" spans="1:19" x14ac:dyDescent="0.2">
      <c r="A8" s="34" t="s">
        <v>281</v>
      </c>
      <c r="B8" s="1" t="s">
        <v>391</v>
      </c>
    </row>
    <row r="9" spans="1:19" x14ac:dyDescent="0.2">
      <c r="A9" s="22"/>
    </row>
    <row r="10" spans="1:19" x14ac:dyDescent="0.2">
      <c r="A10" s="22" t="s">
        <v>36</v>
      </c>
      <c r="B10" s="33">
        <v>44377</v>
      </c>
      <c r="C10" s="33">
        <v>44286</v>
      </c>
      <c r="D10" s="33">
        <v>44196</v>
      </c>
      <c r="E10" s="33">
        <v>44104</v>
      </c>
      <c r="F10" s="33">
        <v>44012</v>
      </c>
      <c r="G10" s="33">
        <v>43921</v>
      </c>
      <c r="H10" s="33">
        <v>43830</v>
      </c>
      <c r="I10" s="33">
        <v>43738</v>
      </c>
      <c r="J10" s="33">
        <v>43646</v>
      </c>
      <c r="K10" s="33">
        <v>43555</v>
      </c>
      <c r="L10" s="33">
        <f>EOMONTH(K10,-3)</f>
        <v>43465</v>
      </c>
      <c r="M10" s="33">
        <f t="shared" ref="M10:S10" si="0">EOMONTH(L10,-3)</f>
        <v>43373</v>
      </c>
      <c r="N10" s="33">
        <f t="shared" si="0"/>
        <v>43281</v>
      </c>
      <c r="O10" s="33">
        <f t="shared" si="0"/>
        <v>43190</v>
      </c>
      <c r="P10" s="33">
        <f t="shared" si="0"/>
        <v>43100</v>
      </c>
      <c r="Q10" s="33">
        <f t="shared" si="0"/>
        <v>43008</v>
      </c>
      <c r="R10" s="33">
        <f t="shared" si="0"/>
        <v>42916</v>
      </c>
      <c r="S10" s="33">
        <f t="shared" si="0"/>
        <v>42825</v>
      </c>
    </row>
    <row r="12" spans="1:19" x14ac:dyDescent="0.2">
      <c r="A12" s="15" t="s">
        <v>35</v>
      </c>
      <c r="B12" s="19">
        <v>416.49999999999994</v>
      </c>
      <c r="C12" s="19">
        <v>318.14800000000002</v>
      </c>
      <c r="D12" s="19">
        <f>1282.024-E12-F12-G12</f>
        <v>231.75599999999986</v>
      </c>
      <c r="E12" s="19">
        <f>1050.268-F12-G12</f>
        <v>470.86500000000001</v>
      </c>
      <c r="F12" s="19">
        <f>579.403-G12</f>
        <v>302.428</v>
      </c>
      <c r="G12" s="19">
        <v>276.97500000000002</v>
      </c>
      <c r="H12" s="19"/>
      <c r="I12" s="19"/>
      <c r="J12" s="19"/>
      <c r="K12" s="19">
        <v>264.661</v>
      </c>
      <c r="L12" s="19">
        <v>245.68300000000002</v>
      </c>
      <c r="M12" s="19">
        <v>364.65699999999998</v>
      </c>
      <c r="N12" s="19">
        <v>339.28199999999998</v>
      </c>
      <c r="O12" s="19">
        <v>249.625</v>
      </c>
      <c r="P12" s="19">
        <v>246.35399999999998</v>
      </c>
      <c r="Q12" s="19">
        <v>356.48699999999997</v>
      </c>
      <c r="R12" s="19">
        <v>337.92</v>
      </c>
      <c r="S12" s="19">
        <v>237.10999999999999</v>
      </c>
    </row>
    <row r="13" spans="1:19" s="28" customFormat="1" x14ac:dyDescent="0.2">
      <c r="A13" s="28" t="s">
        <v>34</v>
      </c>
      <c r="B13" s="28">
        <f>B12/F12-1</f>
        <v>0.37718729747245616</v>
      </c>
      <c r="C13" s="28">
        <f>C12/G12-1</f>
        <v>0.14865240545175551</v>
      </c>
      <c r="K13" s="28">
        <f>+K12/O12-1</f>
        <v>6.0234351527290952E-2</v>
      </c>
      <c r="L13" s="28">
        <f t="shared" ref="L13:O13" si="1">+L12/P12-1</f>
        <v>-2.7237227729201008E-3</v>
      </c>
      <c r="M13" s="28">
        <f t="shared" si="1"/>
        <v>2.291808677455287E-2</v>
      </c>
      <c r="N13" s="28">
        <f t="shared" si="1"/>
        <v>4.0305397727271597E-3</v>
      </c>
      <c r="O13" s="28">
        <f t="shared" si="1"/>
        <v>5.2781409472396845E-2</v>
      </c>
    </row>
    <row r="14" spans="1:19" s="23" customFormat="1" x14ac:dyDescent="0.2">
      <c r="A14" s="31" t="s">
        <v>33</v>
      </c>
      <c r="B14" s="32" t="s">
        <v>32</v>
      </c>
      <c r="C14" s="32" t="s">
        <v>32</v>
      </c>
      <c r="D14" s="32" t="s">
        <v>32</v>
      </c>
      <c r="E14" s="32" t="s">
        <v>32</v>
      </c>
      <c r="F14" s="32" t="s">
        <v>32</v>
      </c>
      <c r="G14" s="32" t="s">
        <v>32</v>
      </c>
      <c r="H14" s="32"/>
      <c r="I14" s="32"/>
      <c r="J14" s="32"/>
      <c r="K14" s="32" t="s">
        <v>32</v>
      </c>
      <c r="L14" s="32" t="s">
        <v>32</v>
      </c>
      <c r="M14" s="32" t="s">
        <v>32</v>
      </c>
      <c r="N14" s="32" t="s">
        <v>32</v>
      </c>
      <c r="O14" s="32" t="s">
        <v>32</v>
      </c>
      <c r="P14" s="31"/>
      <c r="Q14" s="31"/>
      <c r="R14" s="31"/>
      <c r="S14" s="31"/>
    </row>
    <row r="16" spans="1:19" s="22" customFormat="1" x14ac:dyDescent="0.2">
      <c r="A16" s="30" t="s">
        <v>31</v>
      </c>
      <c r="B16" s="29">
        <v>73.101999999999933</v>
      </c>
      <c r="C16" s="29">
        <v>71.552999999999983</v>
      </c>
      <c r="D16" s="29">
        <f>35.121+176.665+12.881-E16-F16-G16</f>
        <v>24.143000000000001</v>
      </c>
      <c r="E16" s="29">
        <f>64.513+135.672+0.339-F16-G16</f>
        <v>78.647999999999996</v>
      </c>
      <c r="F16" s="29">
        <f>36.19+85.686-G16</f>
        <v>39.337999999999994</v>
      </c>
      <c r="G16" s="29">
        <f>38.206+44.332</f>
        <v>82.538000000000011</v>
      </c>
      <c r="H16" s="29"/>
      <c r="I16" s="29"/>
      <c r="J16" s="29"/>
      <c r="K16" s="29">
        <v>21.191000000000003</v>
      </c>
      <c r="L16" s="29">
        <v>8.3170000000000144</v>
      </c>
      <c r="M16" s="29">
        <v>31.064000000000039</v>
      </c>
      <c r="N16" s="29">
        <v>22.398000000000032</v>
      </c>
      <c r="O16" s="29">
        <v>15.373000000000005</v>
      </c>
      <c r="P16" s="29">
        <v>6.0280000000000173</v>
      </c>
      <c r="Q16" s="29">
        <v>33.199000000000012</v>
      </c>
      <c r="R16" s="29">
        <v>26.935000000000013</v>
      </c>
      <c r="S16" s="29">
        <v>15.413999999999994</v>
      </c>
    </row>
    <row r="17" spans="1:19" s="28" customFormat="1" x14ac:dyDescent="0.2">
      <c r="A17" s="28" t="s">
        <v>30</v>
      </c>
      <c r="B17" s="28">
        <f t="shared" ref="B17:G17" si="2">+B16/B12</f>
        <v>0.17551500600240083</v>
      </c>
      <c r="C17" s="28">
        <f t="shared" si="2"/>
        <v>0.22490476130605874</v>
      </c>
      <c r="D17" s="28">
        <f t="shared" si="2"/>
        <v>0.10417421771173137</v>
      </c>
      <c r="E17" s="28">
        <f t="shared" si="2"/>
        <v>0.16702876620687457</v>
      </c>
      <c r="F17" s="28">
        <f t="shared" si="2"/>
        <v>0.13007393495311279</v>
      </c>
      <c r="G17" s="28">
        <f t="shared" si="2"/>
        <v>0.29799801426121492</v>
      </c>
      <c r="K17" s="28">
        <f>+K16/K12</f>
        <v>8.0068464941944612E-2</v>
      </c>
      <c r="L17" s="28">
        <f t="shared" ref="L17:R17" si="3">+L16/L12</f>
        <v>3.3852566111615433E-2</v>
      </c>
      <c r="M17" s="28">
        <f t="shared" si="3"/>
        <v>8.5186901663755366E-2</v>
      </c>
      <c r="N17" s="28">
        <f t="shared" si="3"/>
        <v>6.6015880594903445E-2</v>
      </c>
      <c r="O17" s="28">
        <f t="shared" si="3"/>
        <v>6.158437656484729E-2</v>
      </c>
      <c r="P17" s="28">
        <f t="shared" si="3"/>
        <v>2.4468853763283803E-2</v>
      </c>
      <c r="Q17" s="28">
        <f t="shared" si="3"/>
        <v>9.3128220664428205E-2</v>
      </c>
      <c r="R17" s="28">
        <f t="shared" si="3"/>
        <v>7.9708214962121243E-2</v>
      </c>
      <c r="S17" s="28">
        <f t="shared" ref="S17" si="4">+S16/S12</f>
        <v>6.5007802285858868E-2</v>
      </c>
    </row>
    <row r="18" spans="1:19" s="23" customFormat="1" x14ac:dyDescent="0.2"/>
    <row r="19" spans="1:19" s="23" customFormat="1" x14ac:dyDescent="0.2">
      <c r="A19" s="15" t="s">
        <v>29</v>
      </c>
      <c r="B19" s="19">
        <v>0</v>
      </c>
      <c r="C19" s="19">
        <v>0</v>
      </c>
      <c r="D19" s="19">
        <v>0</v>
      </c>
      <c r="E19" s="19">
        <v>0</v>
      </c>
      <c r="F19" s="19">
        <v>0</v>
      </c>
      <c r="G19" s="19">
        <v>0</v>
      </c>
      <c r="H19" s="19"/>
      <c r="I19" s="19"/>
      <c r="J19" s="19"/>
      <c r="K19" s="19">
        <v>0</v>
      </c>
      <c r="L19" s="19">
        <v>0</v>
      </c>
      <c r="M19" s="19">
        <v>0</v>
      </c>
      <c r="N19" s="19">
        <v>0</v>
      </c>
      <c r="O19" s="19">
        <v>0</v>
      </c>
      <c r="P19" s="19">
        <v>0</v>
      </c>
      <c r="Q19" s="19">
        <v>0</v>
      </c>
      <c r="R19" s="19">
        <v>0</v>
      </c>
      <c r="S19" s="19">
        <v>0</v>
      </c>
    </row>
    <row r="20" spans="1:19" s="23" customFormat="1" x14ac:dyDescent="0.2">
      <c r="A20" s="15" t="s">
        <v>28</v>
      </c>
      <c r="B20" s="19">
        <v>0</v>
      </c>
      <c r="C20" s="19">
        <v>0</v>
      </c>
      <c r="D20" s="19">
        <v>0</v>
      </c>
      <c r="E20" s="19">
        <v>0</v>
      </c>
      <c r="F20" s="19">
        <v>0</v>
      </c>
      <c r="G20" s="19">
        <v>0</v>
      </c>
      <c r="H20" s="19"/>
      <c r="I20" s="19"/>
      <c r="J20" s="19"/>
      <c r="K20" s="19">
        <v>0</v>
      </c>
      <c r="L20" s="19">
        <v>0</v>
      </c>
      <c r="M20" s="19">
        <v>0</v>
      </c>
      <c r="N20" s="19">
        <v>0</v>
      </c>
      <c r="O20" s="19">
        <v>0</v>
      </c>
      <c r="P20" s="19">
        <v>0</v>
      </c>
      <c r="Q20" s="19">
        <v>0</v>
      </c>
      <c r="R20" s="19">
        <v>0</v>
      </c>
      <c r="S20" s="19">
        <v>0</v>
      </c>
    </row>
    <row r="21" spans="1:19" s="23" customFormat="1" x14ac:dyDescent="0.2">
      <c r="A21" s="15" t="s">
        <v>18</v>
      </c>
      <c r="B21" s="19">
        <v>0</v>
      </c>
      <c r="C21" s="19">
        <v>0</v>
      </c>
      <c r="D21" s="19">
        <v>0</v>
      </c>
      <c r="E21" s="19">
        <v>0</v>
      </c>
      <c r="F21" s="19">
        <v>0</v>
      </c>
      <c r="G21" s="19">
        <v>0</v>
      </c>
      <c r="H21" s="19"/>
      <c r="I21" s="19"/>
      <c r="J21" s="19"/>
      <c r="K21" s="19">
        <v>0</v>
      </c>
      <c r="L21" s="19">
        <v>0</v>
      </c>
      <c r="M21" s="19">
        <v>0</v>
      </c>
      <c r="N21" s="19">
        <v>0</v>
      </c>
      <c r="O21" s="19">
        <v>0</v>
      </c>
      <c r="P21" s="19">
        <v>0</v>
      </c>
      <c r="Q21" s="19">
        <v>0</v>
      </c>
      <c r="R21" s="19">
        <v>0</v>
      </c>
      <c r="S21" s="19">
        <v>0</v>
      </c>
    </row>
    <row r="22" spans="1:19" s="22" customFormat="1" x14ac:dyDescent="0.2">
      <c r="A22" s="22" t="s">
        <v>23</v>
      </c>
      <c r="B22" s="20">
        <f t="shared" ref="B22:G22" si="5">SUM(B16,B19:B21)</f>
        <v>73.101999999999933</v>
      </c>
      <c r="C22" s="20">
        <f t="shared" si="5"/>
        <v>71.552999999999983</v>
      </c>
      <c r="D22" s="20">
        <f t="shared" si="5"/>
        <v>24.143000000000001</v>
      </c>
      <c r="E22" s="20">
        <f t="shared" si="5"/>
        <v>78.647999999999996</v>
      </c>
      <c r="F22" s="20">
        <f t="shared" si="5"/>
        <v>39.337999999999994</v>
      </c>
      <c r="G22" s="20">
        <f t="shared" si="5"/>
        <v>82.538000000000011</v>
      </c>
      <c r="H22" s="20"/>
      <c r="I22" s="20"/>
      <c r="J22" s="20"/>
      <c r="K22" s="20">
        <f>SUM(K16,K19:K21)</f>
        <v>21.191000000000003</v>
      </c>
      <c r="L22" s="20">
        <f t="shared" ref="L22:R22" si="6">SUM(L16,L19:L21)</f>
        <v>8.3170000000000144</v>
      </c>
      <c r="M22" s="20">
        <f t="shared" si="6"/>
        <v>31.064000000000039</v>
      </c>
      <c r="N22" s="20">
        <f t="shared" si="6"/>
        <v>22.398000000000032</v>
      </c>
      <c r="O22" s="20">
        <f t="shared" si="6"/>
        <v>15.373000000000005</v>
      </c>
      <c r="P22" s="20">
        <f t="shared" si="6"/>
        <v>6.0280000000000173</v>
      </c>
      <c r="Q22" s="20">
        <f t="shared" si="6"/>
        <v>33.199000000000012</v>
      </c>
      <c r="R22" s="20">
        <f t="shared" si="6"/>
        <v>26.935000000000013</v>
      </c>
      <c r="S22" s="20">
        <f t="shared" ref="S22" si="7">SUM(S16,S19:S21)</f>
        <v>15.413999999999994</v>
      </c>
    </row>
    <row r="23" spans="1:19" s="22" customFormat="1" x14ac:dyDescent="0.2">
      <c r="B23" s="20"/>
      <c r="C23" s="20"/>
      <c r="D23" s="20"/>
      <c r="E23" s="20"/>
      <c r="F23" s="20"/>
      <c r="G23" s="20"/>
      <c r="H23" s="20"/>
      <c r="I23" s="20"/>
      <c r="J23" s="20"/>
      <c r="K23" s="20"/>
      <c r="L23" s="20"/>
      <c r="M23" s="20"/>
      <c r="N23" s="20"/>
      <c r="O23" s="20"/>
      <c r="P23" s="20"/>
      <c r="Q23" s="20"/>
      <c r="R23" s="20"/>
      <c r="S23" s="20"/>
    </row>
    <row r="24" spans="1:19" s="22" customFormat="1" x14ac:dyDescent="0.2">
      <c r="A24" s="22" t="s">
        <v>27</v>
      </c>
      <c r="B24" s="61">
        <v>321.10199999999998</v>
      </c>
      <c r="C24" s="61">
        <v>289.57100000000003</v>
      </c>
      <c r="D24" s="61">
        <v>296.17399999999998</v>
      </c>
      <c r="E24" s="61">
        <v>332.21499999999997</v>
      </c>
      <c r="F24" s="61">
        <v>330.11</v>
      </c>
      <c r="G24" s="61">
        <v>352.62099999999998</v>
      </c>
      <c r="H24" s="20"/>
      <c r="I24" s="20"/>
      <c r="J24" s="20"/>
      <c r="K24" s="20">
        <f>SUM(K22:N22)</f>
        <v>82.970000000000084</v>
      </c>
      <c r="L24" s="20">
        <f t="shared" ref="L24:P24" si="8">SUM(L22:O22)</f>
        <v>77.1520000000001</v>
      </c>
      <c r="M24" s="20">
        <f t="shared" si="8"/>
        <v>74.863000000000099</v>
      </c>
      <c r="N24" s="20">
        <f t="shared" si="8"/>
        <v>76.998000000000076</v>
      </c>
      <c r="O24" s="20">
        <f t="shared" si="8"/>
        <v>81.535000000000053</v>
      </c>
      <c r="P24" s="20">
        <f t="shared" si="8"/>
        <v>81.57600000000005</v>
      </c>
      <c r="Q24" s="20"/>
      <c r="R24" s="20"/>
      <c r="S24" s="20"/>
    </row>
    <row r="25" spans="1:19" s="23" customFormat="1" x14ac:dyDescent="0.2">
      <c r="A25" s="15" t="s">
        <v>26</v>
      </c>
      <c r="B25" s="27">
        <v>0</v>
      </c>
      <c r="C25" s="27">
        <v>0</v>
      </c>
      <c r="D25" s="27">
        <v>0</v>
      </c>
      <c r="E25" s="27">
        <v>0</v>
      </c>
      <c r="F25" s="27">
        <v>0</v>
      </c>
      <c r="G25" s="27">
        <v>0</v>
      </c>
      <c r="H25" s="27"/>
      <c r="I25" s="27"/>
      <c r="J25" s="27"/>
      <c r="K25" s="27">
        <v>0</v>
      </c>
      <c r="L25" s="27">
        <v>0</v>
      </c>
      <c r="M25" s="27">
        <v>0</v>
      </c>
      <c r="N25" s="27">
        <v>0</v>
      </c>
      <c r="O25" s="27">
        <v>0</v>
      </c>
      <c r="P25" s="27">
        <v>0</v>
      </c>
      <c r="Q25" s="27"/>
      <c r="R25" s="27"/>
      <c r="S25" s="27"/>
    </row>
    <row r="26" spans="1:19" s="23" customFormat="1" x14ac:dyDescent="0.2">
      <c r="A26" s="15" t="s">
        <v>25</v>
      </c>
      <c r="B26" s="21">
        <v>0</v>
      </c>
      <c r="C26" s="21">
        <v>0</v>
      </c>
      <c r="D26" s="21">
        <v>0</v>
      </c>
      <c r="E26" s="21">
        <v>0</v>
      </c>
      <c r="F26" s="21">
        <v>0</v>
      </c>
      <c r="G26" s="21">
        <v>0</v>
      </c>
      <c r="H26" s="21"/>
      <c r="I26" s="21"/>
      <c r="J26" s="21"/>
      <c r="K26" s="21">
        <v>0</v>
      </c>
      <c r="L26" s="21">
        <v>0</v>
      </c>
      <c r="M26" s="21">
        <v>0</v>
      </c>
      <c r="N26" s="21">
        <v>0</v>
      </c>
      <c r="O26" s="21">
        <v>0</v>
      </c>
      <c r="P26" s="21">
        <v>0</v>
      </c>
      <c r="Q26" s="26"/>
      <c r="R26" s="26"/>
      <c r="S26" s="26"/>
    </row>
    <row r="27" spans="1:19" s="24" customFormat="1" x14ac:dyDescent="0.2">
      <c r="A27" s="22" t="s">
        <v>24</v>
      </c>
      <c r="B27" s="20">
        <f t="shared" ref="B27:G27" si="9">SUM(B24:B26)</f>
        <v>321.10199999999998</v>
      </c>
      <c r="C27" s="20">
        <f t="shared" si="9"/>
        <v>289.57100000000003</v>
      </c>
      <c r="D27" s="20">
        <f t="shared" si="9"/>
        <v>296.17399999999998</v>
      </c>
      <c r="E27" s="20">
        <f t="shared" si="9"/>
        <v>332.21499999999997</v>
      </c>
      <c r="F27" s="20">
        <f t="shared" si="9"/>
        <v>330.11</v>
      </c>
      <c r="G27" s="20">
        <f t="shared" si="9"/>
        <v>352.62099999999998</v>
      </c>
      <c r="H27" s="20"/>
      <c r="I27" s="20"/>
      <c r="J27" s="20"/>
      <c r="K27" s="20">
        <f>SUM(K24:K26)</f>
        <v>82.970000000000084</v>
      </c>
      <c r="L27" s="20">
        <f t="shared" ref="L27:O27" si="10">SUM(L24:L26)</f>
        <v>77.1520000000001</v>
      </c>
      <c r="M27" s="20">
        <f t="shared" si="10"/>
        <v>74.863000000000099</v>
      </c>
      <c r="N27" s="20">
        <f t="shared" si="10"/>
        <v>76.998000000000076</v>
      </c>
      <c r="O27" s="20">
        <f t="shared" si="10"/>
        <v>81.535000000000053</v>
      </c>
      <c r="P27" s="20">
        <f t="shared" ref="P27" si="11">SUM(P24:P26)</f>
        <v>81.57600000000005</v>
      </c>
      <c r="Q27" s="25"/>
      <c r="R27" s="25"/>
      <c r="S27" s="25"/>
    </row>
    <row r="28" spans="1:19" s="23" customFormat="1" x14ac:dyDescent="0.2"/>
    <row r="29" spans="1:19" s="22" customFormat="1" x14ac:dyDescent="0.2">
      <c r="A29" s="22" t="s">
        <v>23</v>
      </c>
      <c r="B29" s="20">
        <f t="shared" ref="B29:C29" si="12">B22</f>
        <v>73.101999999999933</v>
      </c>
      <c r="C29" s="20">
        <f t="shared" si="12"/>
        <v>71.552999999999983</v>
      </c>
      <c r="D29" s="20">
        <f t="shared" ref="D29:E29" si="13">D22</f>
        <v>24.143000000000001</v>
      </c>
      <c r="E29" s="20">
        <f t="shared" si="13"/>
        <v>78.647999999999996</v>
      </c>
      <c r="F29" s="20">
        <f t="shared" ref="F29:G29" si="14">F22</f>
        <v>39.337999999999994</v>
      </c>
      <c r="G29" s="20">
        <f t="shared" si="14"/>
        <v>82.538000000000011</v>
      </c>
      <c r="H29" s="20"/>
      <c r="I29" s="20"/>
      <c r="J29" s="20"/>
      <c r="K29" s="20">
        <f t="shared" ref="K29:R29" si="15">K22</f>
        <v>21.191000000000003</v>
      </c>
      <c r="L29" s="20">
        <f t="shared" si="15"/>
        <v>8.3170000000000144</v>
      </c>
      <c r="M29" s="20">
        <f t="shared" si="15"/>
        <v>31.064000000000039</v>
      </c>
      <c r="N29" s="20">
        <f t="shared" si="15"/>
        <v>22.398000000000032</v>
      </c>
      <c r="O29" s="20">
        <f t="shared" si="15"/>
        <v>15.373000000000005</v>
      </c>
      <c r="P29" s="20">
        <f t="shared" si="15"/>
        <v>6.0280000000000173</v>
      </c>
      <c r="Q29" s="20">
        <f t="shared" si="15"/>
        <v>33.199000000000012</v>
      </c>
      <c r="R29" s="20">
        <f t="shared" si="15"/>
        <v>26.935000000000013</v>
      </c>
      <c r="S29" s="20">
        <f t="shared" ref="S29" si="16">S22</f>
        <v>15.413999999999994</v>
      </c>
    </row>
    <row r="30" spans="1:19" s="11" customFormat="1" x14ac:dyDescent="0.2">
      <c r="A30" s="19" t="s">
        <v>22</v>
      </c>
      <c r="B30" s="19">
        <v>-11.557000000000002</v>
      </c>
      <c r="C30" s="19">
        <v>-12.677</v>
      </c>
      <c r="D30" s="19">
        <f>-58.243-E30-F30-G30</f>
        <v>-12.013999999999999</v>
      </c>
      <c r="E30" s="19">
        <f>-46.229-F30-G30</f>
        <v>-16.613000000000003</v>
      </c>
      <c r="F30" s="19">
        <f>-32.224+2.608-G30</f>
        <v>-13.427999999999997</v>
      </c>
      <c r="G30" s="19">
        <f>-17.493+1.305</f>
        <v>-16.187999999999999</v>
      </c>
      <c r="H30" s="19"/>
      <c r="I30" s="19"/>
      <c r="J30" s="19"/>
      <c r="K30" s="19">
        <v>-5.5359999999999996</v>
      </c>
      <c r="L30" s="19">
        <v>11.638999999999999</v>
      </c>
      <c r="M30" s="19">
        <v>-5.9839999999999982</v>
      </c>
      <c r="N30" s="19">
        <v>-5.2960000000000003</v>
      </c>
      <c r="O30" s="19">
        <v>-5.2830000000000004</v>
      </c>
      <c r="P30" s="19">
        <v>-6.06</v>
      </c>
      <c r="Q30" s="19">
        <v>-5.6849999999999996</v>
      </c>
      <c r="R30" s="19">
        <v>-5.7359999999999998</v>
      </c>
      <c r="S30" s="19">
        <v>-5.6829999999999998</v>
      </c>
    </row>
    <row r="31" spans="1:19" s="11" customFormat="1" x14ac:dyDescent="0.2">
      <c r="A31" s="19" t="s">
        <v>21</v>
      </c>
      <c r="B31" s="19">
        <v>-5.8999999999999995</v>
      </c>
      <c r="C31" s="19">
        <v>-6.6589999999999998</v>
      </c>
      <c r="D31" s="19">
        <f>20.19-E31-F31-G31</f>
        <v>25.305000000000003</v>
      </c>
      <c r="E31" s="19">
        <f>-5.115-F31-G31</f>
        <v>-0.89700000000000024</v>
      </c>
      <c r="F31" s="19">
        <f>-4.218-G31</f>
        <v>-2.5009999999999999</v>
      </c>
      <c r="G31" s="19">
        <v>-1.7170000000000001</v>
      </c>
      <c r="H31" s="19"/>
      <c r="I31" s="19"/>
      <c r="J31" s="19"/>
      <c r="K31" s="19">
        <v>-0.20100000000000001</v>
      </c>
      <c r="L31" s="19">
        <v>-0.22700000000000009</v>
      </c>
      <c r="M31" s="19">
        <v>-0.31899999999999995</v>
      </c>
      <c r="N31" s="19">
        <v>-0.43399999999999994</v>
      </c>
      <c r="O31" s="19">
        <v>-0.53800000000000003</v>
      </c>
      <c r="P31" s="19">
        <v>-0.754</v>
      </c>
      <c r="Q31" s="19">
        <v>-0.39400000000000002</v>
      </c>
      <c r="R31" s="19">
        <v>-0.85699999999999998</v>
      </c>
      <c r="S31" s="19">
        <v>-0.40100000000000002</v>
      </c>
    </row>
    <row r="32" spans="1:19" s="11" customFormat="1" x14ac:dyDescent="0.2">
      <c r="A32" s="19" t="s">
        <v>20</v>
      </c>
      <c r="B32" s="19">
        <v>6.5940000000000207</v>
      </c>
      <c r="C32" s="19">
        <v>15.159999999999988</v>
      </c>
      <c r="D32" s="19">
        <f>12.673+1.256-3.98+14.845+8.634-1.141-E32-F32-G32</f>
        <v>2.7579999999999938</v>
      </c>
      <c r="E32" s="19">
        <f>-82.98-5.202+84.986+51.572-18.847-F32-G32</f>
        <v>-30.862000000000002</v>
      </c>
      <c r="F32" s="19">
        <f>-150.653-12.326+62.219+154.035+7.116-G32</f>
        <v>45.477000000000004</v>
      </c>
      <c r="G32" s="19">
        <f>-62.001-34.409+4.68+105.073+1.571</f>
        <v>14.914000000000003</v>
      </c>
      <c r="H32" s="19"/>
      <c r="I32" s="19"/>
      <c r="J32" s="19"/>
      <c r="K32" s="19">
        <v>36.335000000000001</v>
      </c>
      <c r="L32" s="19">
        <v>-92.696999999999989</v>
      </c>
      <c r="M32" s="19">
        <v>33.896999999999991</v>
      </c>
      <c r="N32" s="19">
        <v>13.402000000000001</v>
      </c>
      <c r="O32" s="19">
        <v>35.08</v>
      </c>
      <c r="P32" s="19">
        <v>-101.854</v>
      </c>
      <c r="Q32" s="19">
        <v>26.373000000000005</v>
      </c>
      <c r="R32" s="19">
        <v>-56.968000000000018</v>
      </c>
      <c r="S32" s="19">
        <v>122.13100000000001</v>
      </c>
    </row>
    <row r="33" spans="1:19" s="11" customFormat="1" x14ac:dyDescent="0.2">
      <c r="A33" s="19" t="s">
        <v>19</v>
      </c>
      <c r="B33" s="19">
        <v>0</v>
      </c>
      <c r="C33" s="19">
        <v>0</v>
      </c>
      <c r="D33" s="19">
        <v>0</v>
      </c>
      <c r="E33" s="19">
        <v>0</v>
      </c>
      <c r="F33" s="19">
        <v>0</v>
      </c>
      <c r="G33" s="19">
        <v>0</v>
      </c>
      <c r="H33" s="19"/>
      <c r="I33" s="19"/>
      <c r="J33" s="19"/>
      <c r="K33" s="19">
        <v>0</v>
      </c>
      <c r="L33" s="19">
        <v>0</v>
      </c>
      <c r="M33" s="19">
        <v>0</v>
      </c>
      <c r="N33" s="19">
        <v>0</v>
      </c>
      <c r="O33" s="19">
        <v>0</v>
      </c>
      <c r="P33" s="19">
        <v>0</v>
      </c>
      <c r="Q33" s="19">
        <v>0</v>
      </c>
      <c r="R33" s="19">
        <v>0</v>
      </c>
      <c r="S33" s="19">
        <v>0</v>
      </c>
    </row>
    <row r="34" spans="1:19" s="11" customFormat="1" x14ac:dyDescent="0.2">
      <c r="A34" s="19" t="s">
        <v>18</v>
      </c>
      <c r="B34" s="21">
        <f t="shared" ref="B34:G34" si="17">B35-B29-B30-B31-B32-B33</f>
        <v>25.111000000000054</v>
      </c>
      <c r="C34" s="21">
        <f t="shared" si="17"/>
        <v>3.3760000000000279</v>
      </c>
      <c r="D34" s="21">
        <f t="shared" si="17"/>
        <v>-43.610000000000035</v>
      </c>
      <c r="E34" s="21">
        <f t="shared" si="17"/>
        <v>41.529000000000032</v>
      </c>
      <c r="F34" s="21">
        <f t="shared" si="17"/>
        <v>-0.44200000000000017</v>
      </c>
      <c r="G34" s="21">
        <f t="shared" si="17"/>
        <v>11.889999999999981</v>
      </c>
      <c r="H34" s="21"/>
      <c r="I34" s="21"/>
      <c r="J34" s="21"/>
      <c r="K34" s="21">
        <f>K35-K29-K30-K31-K32-K33</f>
        <v>4.3019999999999996</v>
      </c>
      <c r="L34" s="21">
        <f t="shared" ref="L34:S34" si="18">L35-L29-L30-L31-L32-L33</f>
        <v>-12.025000000000006</v>
      </c>
      <c r="M34" s="21">
        <f t="shared" si="18"/>
        <v>4.4199999999999733</v>
      </c>
      <c r="N34" s="21">
        <f t="shared" si="18"/>
        <v>3.8849999999999589</v>
      </c>
      <c r="O34" s="21">
        <f t="shared" si="18"/>
        <v>3.6199999999999974</v>
      </c>
      <c r="P34" s="21">
        <f t="shared" si="18"/>
        <v>3.2740000000000009</v>
      </c>
      <c r="Q34" s="21">
        <f t="shared" si="18"/>
        <v>3.1959999999999731</v>
      </c>
      <c r="R34" s="21">
        <f t="shared" si="18"/>
        <v>4.2739999999999938</v>
      </c>
      <c r="S34" s="21">
        <f t="shared" si="18"/>
        <v>3.8599999999999852</v>
      </c>
    </row>
    <row r="35" spans="1:19" s="20" customFormat="1" x14ac:dyDescent="0.2">
      <c r="A35" s="20" t="s">
        <v>17</v>
      </c>
      <c r="B35" s="20">
        <v>87.350000000000009</v>
      </c>
      <c r="C35" s="20">
        <v>70.753</v>
      </c>
      <c r="D35" s="20">
        <f>228.268-E35-F35-G35</f>
        <v>-3.4180000000000348</v>
      </c>
      <c r="E35" s="20">
        <f>231.686-F35-G35</f>
        <v>71.805000000000021</v>
      </c>
      <c r="F35" s="20">
        <f>159.881-G35</f>
        <v>68.444000000000003</v>
      </c>
      <c r="G35" s="20">
        <v>91.436999999999998</v>
      </c>
      <c r="K35" s="20">
        <v>56.091000000000001</v>
      </c>
      <c r="L35" s="20">
        <v>-84.992999999999995</v>
      </c>
      <c r="M35" s="20">
        <v>63.078000000000003</v>
      </c>
      <c r="N35" s="20">
        <v>33.954999999999991</v>
      </c>
      <c r="O35" s="20">
        <v>48.252000000000002</v>
      </c>
      <c r="P35" s="20">
        <v>-99.365999999999985</v>
      </c>
      <c r="Q35" s="20">
        <v>56.688999999999993</v>
      </c>
      <c r="R35" s="20">
        <v>-32.352000000000004</v>
      </c>
      <c r="S35" s="20">
        <v>135.321</v>
      </c>
    </row>
    <row r="36" spans="1:19" s="11" customFormat="1" x14ac:dyDescent="0.2">
      <c r="A36" s="19" t="s">
        <v>16</v>
      </c>
      <c r="B36" s="21">
        <v>-20.666999999999998</v>
      </c>
      <c r="C36" s="21">
        <v>-5.3230000000000004</v>
      </c>
      <c r="D36" s="21">
        <f>-24.221-E36-F36-G36</f>
        <v>-3.0399999999999991</v>
      </c>
      <c r="E36" s="21">
        <f>-21.181-F36-G36</f>
        <v>-3.4840000000000018</v>
      </c>
      <c r="F36" s="21">
        <f>-17.697-G36</f>
        <v>-7.4029999999999987</v>
      </c>
      <c r="G36" s="21">
        <v>-10.294</v>
      </c>
      <c r="H36" s="21"/>
      <c r="I36" s="21"/>
      <c r="J36" s="21"/>
      <c r="K36" s="21">
        <v>-8.7289999999999992</v>
      </c>
      <c r="L36" s="21">
        <v>-1.7640000000000002</v>
      </c>
      <c r="M36" s="21">
        <v>-1.1729999999999992</v>
      </c>
      <c r="N36" s="21">
        <v>-2.9910000000000005</v>
      </c>
      <c r="O36" s="21">
        <v>-3.13</v>
      </c>
      <c r="P36" s="21">
        <v>2.7629999999999999</v>
      </c>
      <c r="Q36" s="21">
        <v>-1.2509999999999994</v>
      </c>
      <c r="R36" s="21">
        <v>-0.84299999999999997</v>
      </c>
      <c r="S36" s="21">
        <v>-9.7270000000000003</v>
      </c>
    </row>
    <row r="37" spans="1:19" s="20" customFormat="1" x14ac:dyDescent="0.2">
      <c r="A37" s="20" t="s">
        <v>15</v>
      </c>
      <c r="B37" s="20">
        <f t="shared" ref="B37:G37" si="19">+B35+B36</f>
        <v>66.683000000000007</v>
      </c>
      <c r="C37" s="20">
        <f t="shared" si="19"/>
        <v>65.430000000000007</v>
      </c>
      <c r="D37" s="20">
        <f t="shared" si="19"/>
        <v>-6.4580000000000339</v>
      </c>
      <c r="E37" s="20">
        <f t="shared" si="19"/>
        <v>68.321000000000026</v>
      </c>
      <c r="F37" s="20">
        <f t="shared" si="19"/>
        <v>61.041000000000004</v>
      </c>
      <c r="G37" s="20">
        <f t="shared" si="19"/>
        <v>81.143000000000001</v>
      </c>
      <c r="K37" s="20">
        <f>+K35+K36</f>
        <v>47.362000000000002</v>
      </c>
      <c r="L37" s="20">
        <f t="shared" ref="L37:R37" si="20">+L35+L36</f>
        <v>-86.756999999999991</v>
      </c>
      <c r="M37" s="20">
        <f t="shared" si="20"/>
        <v>61.905000000000001</v>
      </c>
      <c r="N37" s="20">
        <f t="shared" si="20"/>
        <v>30.963999999999992</v>
      </c>
      <c r="O37" s="20">
        <f t="shared" si="20"/>
        <v>45.122</v>
      </c>
      <c r="P37" s="20">
        <f t="shared" si="20"/>
        <v>-96.60299999999998</v>
      </c>
      <c r="Q37" s="20">
        <f t="shared" si="20"/>
        <v>55.437999999999995</v>
      </c>
      <c r="R37" s="20">
        <f t="shared" si="20"/>
        <v>-33.195000000000007</v>
      </c>
      <c r="S37" s="20">
        <f t="shared" ref="S37" si="21">+S35+S36</f>
        <v>125.59399999999999</v>
      </c>
    </row>
    <row r="39" spans="1:19" s="16" customFormat="1" x14ac:dyDescent="0.2">
      <c r="A39" s="18" t="s">
        <v>14</v>
      </c>
      <c r="B39" s="19">
        <v>4</v>
      </c>
      <c r="C39" s="19">
        <v>0</v>
      </c>
      <c r="D39" s="19">
        <v>0</v>
      </c>
      <c r="E39" s="19">
        <v>0</v>
      </c>
      <c r="F39" s="19">
        <v>90</v>
      </c>
      <c r="G39" s="19">
        <v>75</v>
      </c>
      <c r="H39" s="19">
        <v>0</v>
      </c>
      <c r="I39" s="19"/>
      <c r="J39" s="19">
        <v>0</v>
      </c>
      <c r="K39" s="19">
        <v>0</v>
      </c>
      <c r="L39" s="19"/>
      <c r="M39" s="19"/>
      <c r="N39" s="19"/>
      <c r="O39" s="19"/>
      <c r="P39" s="19"/>
      <c r="Q39" s="19"/>
      <c r="R39" s="19"/>
      <c r="S39" s="19"/>
    </row>
    <row r="40" spans="1:19" s="16" customFormat="1" x14ac:dyDescent="0.2">
      <c r="A40" s="18" t="s">
        <v>13</v>
      </c>
      <c r="B40" s="19">
        <v>1192.694</v>
      </c>
      <c r="C40" s="19">
        <v>1266.6180000000002</v>
      </c>
      <c r="D40" s="19">
        <v>1352.4860000000001</v>
      </c>
      <c r="E40" s="19">
        <f>1323.45+43.11+43.709+0.449</f>
        <v>1410.7180000000001</v>
      </c>
      <c r="F40" s="19">
        <f>1326.975+43.11+44.09+0.449</f>
        <v>1414.6239999999998</v>
      </c>
      <c r="G40" s="19">
        <f>1330.5+88.025</f>
        <v>1418.5250000000001</v>
      </c>
      <c r="H40" s="19">
        <f>1333.5+43.11+44.835</f>
        <v>1421.4449999999999</v>
      </c>
      <c r="I40" s="19"/>
      <c r="J40" s="19">
        <v>1410</v>
      </c>
      <c r="K40" s="19">
        <v>1410</v>
      </c>
      <c r="L40" s="19"/>
      <c r="M40" s="19"/>
      <c r="N40" s="19"/>
      <c r="O40" s="19"/>
      <c r="P40" s="19"/>
      <c r="Q40" s="19"/>
      <c r="R40" s="19"/>
      <c r="S40" s="19"/>
    </row>
    <row r="41" spans="1:19" s="16" customFormat="1" x14ac:dyDescent="0.2">
      <c r="A41" s="18" t="s">
        <v>12</v>
      </c>
      <c r="B41" s="19">
        <f t="shared" ref="B41:H41" si="22">B39+B40</f>
        <v>1196.694</v>
      </c>
      <c r="C41" s="19">
        <f t="shared" si="22"/>
        <v>1266.6180000000002</v>
      </c>
      <c r="D41" s="19">
        <f t="shared" si="22"/>
        <v>1352.4860000000001</v>
      </c>
      <c r="E41" s="19">
        <f t="shared" si="22"/>
        <v>1410.7180000000001</v>
      </c>
      <c r="F41" s="19">
        <f t="shared" si="22"/>
        <v>1504.6239999999998</v>
      </c>
      <c r="G41" s="19">
        <f t="shared" si="22"/>
        <v>1493.5250000000001</v>
      </c>
      <c r="H41" s="19">
        <f t="shared" si="22"/>
        <v>1421.4449999999999</v>
      </c>
      <c r="I41" s="19"/>
      <c r="J41" s="19">
        <f>J39+J40+92</f>
        <v>1502</v>
      </c>
      <c r="K41" s="19">
        <f>K39+K40+92</f>
        <v>1502</v>
      </c>
      <c r="L41" s="19"/>
      <c r="M41" s="19"/>
      <c r="N41" s="19"/>
      <c r="O41" s="19"/>
      <c r="P41" s="19"/>
      <c r="Q41" s="19"/>
      <c r="R41" s="19"/>
      <c r="S41" s="19"/>
    </row>
    <row r="42" spans="1:19" s="16" customFormat="1" x14ac:dyDescent="0.2">
      <c r="A42" s="18" t="s">
        <v>11</v>
      </c>
      <c r="B42" s="17">
        <v>1603</v>
      </c>
      <c r="C42" s="17">
        <v>1603</v>
      </c>
      <c r="D42" s="17">
        <v>1603</v>
      </c>
      <c r="E42" s="17">
        <v>1603</v>
      </c>
      <c r="F42" s="17">
        <v>1603</v>
      </c>
      <c r="G42" s="17">
        <v>1603</v>
      </c>
      <c r="H42" s="17">
        <v>1603</v>
      </c>
      <c r="I42" s="17"/>
      <c r="J42" s="17">
        <v>1603</v>
      </c>
      <c r="K42" s="17">
        <v>1603</v>
      </c>
      <c r="L42" s="17"/>
      <c r="M42" s="17"/>
      <c r="N42" s="17"/>
      <c r="O42" s="17"/>
      <c r="P42" s="17"/>
      <c r="Q42" s="17"/>
      <c r="R42" s="17"/>
      <c r="S42" s="17"/>
    </row>
    <row r="43" spans="1:19" x14ac:dyDescent="0.2">
      <c r="B43" s="16"/>
      <c r="C43" s="16"/>
      <c r="D43" s="16"/>
      <c r="E43" s="16"/>
      <c r="F43" s="16"/>
      <c r="G43" s="16"/>
      <c r="H43" s="16"/>
      <c r="I43" s="16"/>
      <c r="J43" s="16"/>
      <c r="K43" s="16"/>
      <c r="L43" s="16"/>
      <c r="M43" s="16"/>
    </row>
    <row r="44" spans="1:19" x14ac:dyDescent="0.2">
      <c r="A44" s="15" t="s">
        <v>10</v>
      </c>
      <c r="B44" s="27">
        <v>140.99</v>
      </c>
      <c r="C44" s="27">
        <v>141.1</v>
      </c>
      <c r="D44" s="27">
        <v>162.749</v>
      </c>
      <c r="E44" s="27">
        <v>241.565</v>
      </c>
      <c r="F44" s="27">
        <v>265.08499999999998</v>
      </c>
      <c r="G44" s="27">
        <v>193.279</v>
      </c>
      <c r="H44" s="27">
        <v>221.73400000000001</v>
      </c>
      <c r="I44" s="27"/>
      <c r="J44" s="27">
        <v>139</v>
      </c>
      <c r="K44" s="27">
        <v>139</v>
      </c>
      <c r="L44" s="27"/>
      <c r="M44" s="27"/>
      <c r="N44" s="27"/>
      <c r="O44" s="27"/>
      <c r="P44" s="27"/>
      <c r="Q44" s="14"/>
      <c r="R44" s="14"/>
      <c r="S44" s="14"/>
    </row>
    <row r="46" spans="1:19" x14ac:dyDescent="0.2">
      <c r="A46" s="1" t="s">
        <v>9</v>
      </c>
      <c r="B46" s="13">
        <f>SUM(B12:E12)</f>
        <v>1437.2689999999998</v>
      </c>
      <c r="C46" s="13">
        <f>SUM(C12:F12)</f>
        <v>1323.1969999999999</v>
      </c>
      <c r="D46" s="13">
        <f>SUM(D12:G12)</f>
        <v>1282.0239999999999</v>
      </c>
      <c r="E46" s="13">
        <f>SUM(E12:G12)/3*4</f>
        <v>1400.3573333333334</v>
      </c>
      <c r="F46" s="13">
        <f>(F12+G12)/2*4</f>
        <v>1158.806</v>
      </c>
      <c r="G46" s="13">
        <f>H46+G12-K12</f>
        <v>1286.5079999999998</v>
      </c>
      <c r="H46" s="12">
        <v>1274.194</v>
      </c>
      <c r="I46" s="12"/>
      <c r="J46" s="12">
        <v>1425</v>
      </c>
      <c r="K46" s="12">
        <v>1425</v>
      </c>
      <c r="L46" s="11"/>
      <c r="M46" s="11"/>
      <c r="N46" s="11"/>
      <c r="O46" s="11"/>
    </row>
    <row r="47" spans="1:19" x14ac:dyDescent="0.2">
      <c r="A47" s="1" t="s">
        <v>8</v>
      </c>
      <c r="B47" s="13">
        <f t="shared" ref="B47:G47" si="23">B27</f>
        <v>321.10199999999998</v>
      </c>
      <c r="C47" s="13">
        <f t="shared" si="23"/>
        <v>289.57100000000003</v>
      </c>
      <c r="D47" s="13">
        <f t="shared" si="23"/>
        <v>296.17399999999998</v>
      </c>
      <c r="E47" s="13">
        <f t="shared" si="23"/>
        <v>332.21499999999997</v>
      </c>
      <c r="F47" s="13">
        <f t="shared" si="23"/>
        <v>330.11</v>
      </c>
      <c r="G47" s="13">
        <f t="shared" si="23"/>
        <v>352.62099999999998</v>
      </c>
      <c r="H47" s="12"/>
      <c r="I47" s="12"/>
      <c r="J47" s="12">
        <v>345</v>
      </c>
      <c r="K47" s="12">
        <v>345</v>
      </c>
      <c r="L47" s="11"/>
      <c r="M47" s="11"/>
      <c r="N47" s="11"/>
      <c r="O47" s="11"/>
    </row>
    <row r="48" spans="1:19" x14ac:dyDescent="0.2">
      <c r="A48" s="1" t="s">
        <v>7</v>
      </c>
      <c r="B48" s="13">
        <f t="shared" ref="B48:G48" si="24">C48+B37-F37</f>
        <v>170.28700000000003</v>
      </c>
      <c r="C48" s="13">
        <f t="shared" si="24"/>
        <v>164.64500000000001</v>
      </c>
      <c r="D48" s="13">
        <f t="shared" si="24"/>
        <v>180.358</v>
      </c>
      <c r="E48" s="13">
        <f t="shared" si="24"/>
        <v>186.81600000000003</v>
      </c>
      <c r="F48" s="13">
        <f t="shared" si="24"/>
        <v>118.495</v>
      </c>
      <c r="G48" s="13">
        <f t="shared" si="24"/>
        <v>57.454000000000001</v>
      </c>
      <c r="H48" s="12">
        <f>64.182-40.509</f>
        <v>23.673000000000002</v>
      </c>
      <c r="I48" s="12"/>
      <c r="J48" s="12">
        <v>113.20599999999999</v>
      </c>
      <c r="K48" s="12">
        <v>113.20599999999999</v>
      </c>
      <c r="L48" s="11"/>
      <c r="M48" s="11"/>
      <c r="N48" s="11"/>
      <c r="O48" s="11"/>
    </row>
    <row r="50" spans="1:19" s="10" customFormat="1" x14ac:dyDescent="0.2">
      <c r="A50" s="10" t="s">
        <v>6</v>
      </c>
      <c r="B50" s="10">
        <f t="shared" ref="B50:G50" si="25">+SUM(B39:B40)/B47</f>
        <v>3.7268344638152366</v>
      </c>
      <c r="C50" s="10">
        <f t="shared" si="25"/>
        <v>4.3741189552821247</v>
      </c>
      <c r="D50" s="10">
        <f t="shared" si="25"/>
        <v>4.566525083228103</v>
      </c>
      <c r="E50" s="10">
        <f t="shared" si="25"/>
        <v>4.2464006742621496</v>
      </c>
      <c r="F50" s="10">
        <f t="shared" si="25"/>
        <v>4.5579473508830386</v>
      </c>
      <c r="G50" s="10">
        <f t="shared" si="25"/>
        <v>4.2354964678791118</v>
      </c>
      <c r="J50" s="10">
        <f>+SUM(J39:J40)/J47</f>
        <v>4.0869565217391308</v>
      </c>
      <c r="K50" s="10">
        <f>+SUM(K39:K40)/K47</f>
        <v>4.0869565217391308</v>
      </c>
    </row>
    <row r="51" spans="1:19" s="10" customFormat="1" x14ac:dyDescent="0.2">
      <c r="A51" s="10" t="s">
        <v>5</v>
      </c>
      <c r="B51" s="10">
        <f t="shared" ref="B51:G51" si="26">+B41/B47</f>
        <v>3.7268344638152366</v>
      </c>
      <c r="C51" s="10">
        <f t="shared" si="26"/>
        <v>4.3741189552821247</v>
      </c>
      <c r="D51" s="10">
        <f t="shared" si="26"/>
        <v>4.566525083228103</v>
      </c>
      <c r="E51" s="10">
        <f t="shared" si="26"/>
        <v>4.2464006742621496</v>
      </c>
      <c r="F51" s="10">
        <f t="shared" si="26"/>
        <v>4.5579473508830386</v>
      </c>
      <c r="G51" s="10">
        <f t="shared" si="26"/>
        <v>4.2354964678791118</v>
      </c>
      <c r="J51" s="10">
        <f>+J41/J47</f>
        <v>4.3536231884057974</v>
      </c>
      <c r="K51" s="10">
        <f>+K41/K47</f>
        <v>4.3536231884057974</v>
      </c>
    </row>
    <row r="52" spans="1:19" s="10" customFormat="1" x14ac:dyDescent="0.2">
      <c r="A52" s="10" t="s">
        <v>4</v>
      </c>
      <c r="B52" s="10">
        <f t="shared" ref="B52:G52" si="27">+(B41-B44)/B47</f>
        <v>3.2877528012905559</v>
      </c>
      <c r="C52" s="10">
        <f t="shared" si="27"/>
        <v>3.8868464038180623</v>
      </c>
      <c r="D52" s="10">
        <f t="shared" si="27"/>
        <v>4.0170204001701704</v>
      </c>
      <c r="E52" s="10">
        <f t="shared" si="27"/>
        <v>3.5192661378926302</v>
      </c>
      <c r="F52" s="10">
        <f t="shared" si="27"/>
        <v>3.7549271454969548</v>
      </c>
      <c r="G52" s="10">
        <f t="shared" si="27"/>
        <v>3.687375397381325</v>
      </c>
      <c r="J52" s="10">
        <f>+(J41-J44)/J47</f>
        <v>3.9507246376811596</v>
      </c>
      <c r="K52" s="10">
        <f>+(K41-K44)/K47</f>
        <v>3.9507246376811596</v>
      </c>
    </row>
    <row r="53" spans="1:19" s="6" customFormat="1" x14ac:dyDescent="0.2">
      <c r="A53" s="6" t="s">
        <v>3</v>
      </c>
      <c r="B53" s="6">
        <f t="shared" ref="B53" si="28">+B48/B41</f>
        <v>0.14229786394851152</v>
      </c>
      <c r="C53" s="6">
        <f t="shared" ref="C53:H53" si="29">+C48/C41</f>
        <v>0.12998788900836716</v>
      </c>
      <c r="D53" s="6">
        <f t="shared" si="29"/>
        <v>0.13335295152777921</v>
      </c>
      <c r="E53" s="6">
        <f t="shared" si="29"/>
        <v>0.13242618297916381</v>
      </c>
      <c r="F53" s="6">
        <f t="shared" si="29"/>
        <v>7.8753894660725882E-2</v>
      </c>
      <c r="G53" s="6">
        <f t="shared" si="29"/>
        <v>3.8468723322341442E-2</v>
      </c>
      <c r="H53" s="6">
        <f t="shared" si="29"/>
        <v>1.6654179373806234E-2</v>
      </c>
      <c r="J53" s="6">
        <f>+J48/J41</f>
        <v>7.5370173102529955E-2</v>
      </c>
      <c r="K53" s="6">
        <f>+K48/K41</f>
        <v>7.5370173102529955E-2</v>
      </c>
    </row>
    <row r="54" spans="1:19" s="6" customFormat="1" x14ac:dyDescent="0.2">
      <c r="A54" s="8" t="s">
        <v>2</v>
      </c>
      <c r="B54" s="9"/>
      <c r="C54" s="9"/>
      <c r="D54" s="9"/>
      <c r="E54" s="9"/>
      <c r="F54" s="9"/>
      <c r="G54" s="9"/>
      <c r="H54" s="9"/>
      <c r="I54" s="9"/>
      <c r="J54" s="9"/>
      <c r="K54" s="9"/>
      <c r="L54" s="9"/>
      <c r="M54" s="9"/>
      <c r="N54" s="9"/>
      <c r="O54" s="9"/>
      <c r="P54" s="8"/>
      <c r="Q54" s="8"/>
      <c r="R54" s="8"/>
      <c r="S54" s="8"/>
    </row>
    <row r="55" spans="1:19" s="6" customFormat="1" x14ac:dyDescent="0.2">
      <c r="A55" s="6" t="s">
        <v>1</v>
      </c>
      <c r="B55" s="7">
        <f t="shared" ref="B55:G55" si="30">IF(B42=0,IF(B54="","","*"&amp;TEXT(B54,"0.0x")),(B41+B42-B44)/B47)</f>
        <v>8.2799359705015849</v>
      </c>
      <c r="C55" s="7">
        <f t="shared" si="30"/>
        <v>9.4226217404367159</v>
      </c>
      <c r="D55" s="7">
        <f t="shared" si="30"/>
        <v>9.4293793513272615</v>
      </c>
      <c r="E55" s="7">
        <f t="shared" si="30"/>
        <v>8.3444546453350998</v>
      </c>
      <c r="F55" s="7">
        <f t="shared" si="30"/>
        <v>8.6108842507043093</v>
      </c>
      <c r="G55" s="7">
        <f t="shared" si="30"/>
        <v>8.233332671621941</v>
      </c>
      <c r="H55" s="7"/>
      <c r="I55" s="7"/>
      <c r="J55" s="7">
        <f>IF(J42=0,IF(J54="","","*"&amp;TEXT(J54,"0.0x")),(J41+J42-J44)/J47)</f>
        <v>8.5971014492753621</v>
      </c>
      <c r="K55" s="7">
        <f>IF(K42=0,IF(K54="","","*"&amp;TEXT(K54,"0.0x")),(K41+K42-K44)/K47)</f>
        <v>8.5971014492753621</v>
      </c>
      <c r="L55" s="7"/>
      <c r="M55" s="7"/>
      <c r="N55" s="7"/>
      <c r="O55" s="7"/>
      <c r="P55" s="7" t="str">
        <f t="shared" ref="P55:R55" si="31">IF(P42=0,IF(P54="","",CONCATENATE("* ",P54,"x")),(P41+P42-P44)/P47)</f>
        <v/>
      </c>
      <c r="Q55" s="7" t="str">
        <f t="shared" si="31"/>
        <v/>
      </c>
      <c r="R55" s="7" t="str">
        <f t="shared" si="31"/>
        <v/>
      </c>
      <c r="S55" s="7" t="str">
        <f t="shared" ref="S55" si="32">IF(S42=0,IF(S54="","",CONCATENATE("* ",S54,"x")),(S41+S42-S44)/S47)</f>
        <v/>
      </c>
    </row>
    <row r="56" spans="1:19" x14ac:dyDescent="0.2">
      <c r="O56" s="3"/>
    </row>
    <row r="57" spans="1:19" ht="80.25" customHeight="1" x14ac:dyDescent="0.2">
      <c r="A57" s="5" t="s">
        <v>0</v>
      </c>
      <c r="B57" s="4" t="s">
        <v>104</v>
      </c>
      <c r="C57" s="4" t="s">
        <v>104</v>
      </c>
      <c r="D57" s="4" t="s">
        <v>235</v>
      </c>
      <c r="E57" s="4" t="s">
        <v>235</v>
      </c>
      <c r="F57" s="4" t="s">
        <v>235</v>
      </c>
      <c r="G57" s="4" t="s">
        <v>235</v>
      </c>
      <c r="H57" s="4" t="s">
        <v>519</v>
      </c>
      <c r="I57" s="4"/>
      <c r="J57" s="4" t="s">
        <v>451</v>
      </c>
      <c r="K57" s="4" t="s">
        <v>104</v>
      </c>
      <c r="L57" s="4"/>
      <c r="M57" s="4"/>
      <c r="N57" s="4"/>
      <c r="O57" s="4"/>
      <c r="P57" s="4"/>
      <c r="Q57" s="4"/>
      <c r="R57" s="4"/>
      <c r="S57" s="4"/>
    </row>
    <row r="58" spans="1:19" x14ac:dyDescent="0.2">
      <c r="A58" s="2"/>
      <c r="B58" s="3"/>
      <c r="C58" s="3"/>
      <c r="D58" s="3"/>
      <c r="E58" s="3"/>
      <c r="F58" s="3"/>
      <c r="G58" s="3"/>
      <c r="H58" s="3"/>
      <c r="I58" s="3"/>
      <c r="J58" s="3"/>
      <c r="K58" s="3"/>
    </row>
    <row r="59" spans="1:19" x14ac:dyDescent="0.2">
      <c r="A59" s="2"/>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Q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5" width="10.7109375" style="1" customWidth="1"/>
    <col min="26" max="26" width="9.140625" style="1"/>
    <col min="27" max="28" width="9.42578125" style="1" bestFit="1" customWidth="1"/>
    <col min="29" max="29" width="10.42578125" style="1" bestFit="1" customWidth="1"/>
    <col min="30" max="32" width="9.42578125" style="1" bestFit="1" customWidth="1"/>
    <col min="33" max="33" width="10.42578125" style="1" bestFit="1" customWidth="1"/>
    <col min="34" max="34" width="9.42578125" style="1" bestFit="1" customWidth="1"/>
    <col min="35" max="35" width="9.140625" style="1"/>
    <col min="36" max="37" width="9.42578125" style="1" bestFit="1" customWidth="1"/>
    <col min="38" max="38" width="10.42578125" style="1" bestFit="1" customWidth="1"/>
    <col min="39" max="41" width="9.42578125" style="1" bestFit="1" customWidth="1"/>
    <col min="42" max="42" width="10.42578125" style="1" bestFit="1" customWidth="1"/>
    <col min="43" max="43" width="9.42578125" style="1" bestFit="1" customWidth="1"/>
    <col min="44" max="16384" width="9.140625" style="1"/>
  </cols>
  <sheetData>
    <row r="2" spans="1:43" x14ac:dyDescent="0.2">
      <c r="A2" s="34" t="s">
        <v>45</v>
      </c>
      <c r="B2" s="1" t="s">
        <v>163</v>
      </c>
    </row>
    <row r="3" spans="1:43" s="35" customFormat="1" x14ac:dyDescent="0.2">
      <c r="A3" s="36" t="s">
        <v>43</v>
      </c>
      <c r="B3" s="35" t="s">
        <v>162</v>
      </c>
    </row>
    <row r="4" spans="1:43" x14ac:dyDescent="0.2">
      <c r="A4" s="34" t="s">
        <v>41</v>
      </c>
      <c r="B4" s="1" t="s">
        <v>40</v>
      </c>
    </row>
    <row r="5" spans="1:43" x14ac:dyDescent="0.2">
      <c r="A5" s="34" t="s">
        <v>39</v>
      </c>
    </row>
    <row r="6" spans="1:43" x14ac:dyDescent="0.2">
      <c r="A6" s="34" t="s">
        <v>38</v>
      </c>
      <c r="B6" s="1">
        <v>4</v>
      </c>
    </row>
    <row r="7" spans="1:43" x14ac:dyDescent="0.2">
      <c r="A7" s="34" t="s">
        <v>37</v>
      </c>
      <c r="B7" s="1" t="s">
        <v>374</v>
      </c>
    </row>
    <row r="8" spans="1:43" x14ac:dyDescent="0.2">
      <c r="A8" s="34" t="s">
        <v>281</v>
      </c>
      <c r="B8" s="1" t="s">
        <v>322</v>
      </c>
    </row>
    <row r="9" spans="1:43" ht="15" x14ac:dyDescent="0.35">
      <c r="A9" s="22"/>
      <c r="AA9" s="62" t="s">
        <v>161</v>
      </c>
      <c r="AB9" s="62"/>
      <c r="AC9" s="62"/>
      <c r="AD9" s="62"/>
      <c r="AE9" s="62"/>
      <c r="AF9" s="62"/>
      <c r="AG9" s="62"/>
      <c r="AH9" s="62"/>
      <c r="AJ9" s="62" t="s">
        <v>160</v>
      </c>
      <c r="AK9" s="62"/>
      <c r="AL9" s="62"/>
      <c r="AM9" s="62"/>
      <c r="AN9" s="62"/>
      <c r="AO9" s="62"/>
      <c r="AP9" s="62"/>
      <c r="AQ9" s="62"/>
    </row>
    <row r="10" spans="1:43" x14ac:dyDescent="0.2">
      <c r="A10" s="22" t="s">
        <v>36</v>
      </c>
      <c r="B10" s="33">
        <v>44377</v>
      </c>
      <c r="C10" s="33">
        <v>44286</v>
      </c>
      <c r="D10" s="33">
        <v>44196</v>
      </c>
      <c r="E10" s="33">
        <v>44104</v>
      </c>
      <c r="F10" s="33">
        <v>44012</v>
      </c>
      <c r="G10" s="33">
        <v>43921</v>
      </c>
      <c r="H10" s="33">
        <v>43830</v>
      </c>
      <c r="I10" s="33">
        <v>43738</v>
      </c>
      <c r="J10" s="33">
        <v>43646</v>
      </c>
      <c r="K10" s="33">
        <v>43554</v>
      </c>
      <c r="L10" s="33">
        <v>43465</v>
      </c>
      <c r="M10" s="33">
        <v>43372</v>
      </c>
      <c r="N10" s="33">
        <v>43281</v>
      </c>
      <c r="O10" s="33">
        <v>43190</v>
      </c>
      <c r="P10" s="33">
        <v>43100</v>
      </c>
      <c r="Q10" s="33">
        <v>43008</v>
      </c>
      <c r="R10" s="33">
        <v>42916</v>
      </c>
      <c r="S10" s="33">
        <v>42825</v>
      </c>
      <c r="T10" s="33">
        <v>42735</v>
      </c>
      <c r="U10" s="33">
        <v>42643</v>
      </c>
      <c r="V10" s="33">
        <v>42551</v>
      </c>
      <c r="W10" s="33">
        <v>42460</v>
      </c>
      <c r="X10" s="33">
        <v>42369</v>
      </c>
      <c r="Y10" s="33">
        <v>42277</v>
      </c>
      <c r="AA10" s="2">
        <f t="shared" ref="AA10:AH10" si="0">R10</f>
        <v>42916</v>
      </c>
      <c r="AB10" s="2">
        <f t="shared" si="0"/>
        <v>42825</v>
      </c>
      <c r="AC10" s="2">
        <f t="shared" si="0"/>
        <v>42735</v>
      </c>
      <c r="AD10" s="2">
        <f t="shared" si="0"/>
        <v>42643</v>
      </c>
      <c r="AE10" s="2">
        <f t="shared" si="0"/>
        <v>42551</v>
      </c>
      <c r="AF10" s="2">
        <f t="shared" si="0"/>
        <v>42460</v>
      </c>
      <c r="AG10" s="2">
        <f t="shared" si="0"/>
        <v>42369</v>
      </c>
      <c r="AH10" s="2">
        <f t="shared" si="0"/>
        <v>42277</v>
      </c>
      <c r="AJ10" s="2">
        <f t="shared" ref="AJ10:AQ10" si="1">AA10</f>
        <v>42916</v>
      </c>
      <c r="AK10" s="2">
        <f t="shared" si="1"/>
        <v>42825</v>
      </c>
      <c r="AL10" s="2">
        <f t="shared" si="1"/>
        <v>42735</v>
      </c>
      <c r="AM10" s="2">
        <f t="shared" si="1"/>
        <v>42643</v>
      </c>
      <c r="AN10" s="2">
        <f t="shared" si="1"/>
        <v>42551</v>
      </c>
      <c r="AO10" s="2">
        <f t="shared" si="1"/>
        <v>42460</v>
      </c>
      <c r="AP10" s="2">
        <f t="shared" si="1"/>
        <v>42369</v>
      </c>
      <c r="AQ10" s="2">
        <f t="shared" si="1"/>
        <v>42277</v>
      </c>
    </row>
    <row r="12" spans="1:43" x14ac:dyDescent="0.2">
      <c r="A12" s="15" t="s">
        <v>35</v>
      </c>
      <c r="B12" s="19">
        <v>1988.6</v>
      </c>
      <c r="C12" s="19">
        <v>1771</v>
      </c>
      <c r="D12" s="19">
        <f>7459.923-E12-F12-G12</f>
        <v>2259.3309999999997</v>
      </c>
      <c r="E12" s="19">
        <v>1936.492</v>
      </c>
      <c r="F12" s="19">
        <v>1867.7</v>
      </c>
      <c r="G12" s="19">
        <v>1396.4</v>
      </c>
      <c r="H12" s="19">
        <f>6496.705-I12-J12-K12</f>
        <v>1893.1779999999997</v>
      </c>
      <c r="I12" s="19">
        <v>1580.127</v>
      </c>
      <c r="J12" s="19">
        <v>1660.7</v>
      </c>
      <c r="K12" s="19">
        <v>1362.7</v>
      </c>
      <c r="L12" s="19">
        <v>1914.5</v>
      </c>
      <c r="M12" s="19">
        <v>1596.22</v>
      </c>
      <c r="N12" s="19">
        <v>1697.4259999999999</v>
      </c>
      <c r="O12" s="19">
        <v>1556.5889999999999</v>
      </c>
      <c r="P12" s="19">
        <v>2211</v>
      </c>
      <c r="Q12" s="19">
        <v>1770</v>
      </c>
      <c r="R12" s="19">
        <v>1740</v>
      </c>
      <c r="S12" s="19">
        <v>1493</v>
      </c>
      <c r="T12" s="19">
        <v>2262</v>
      </c>
      <c r="U12" s="19">
        <v>1760</v>
      </c>
      <c r="V12" s="19">
        <v>1805</v>
      </c>
      <c r="W12" s="19">
        <v>1562</v>
      </c>
      <c r="X12" s="19">
        <f t="shared" ref="X12:Y12" si="2">AG12+AP12</f>
        <v>2321.527</v>
      </c>
      <c r="Y12" s="19">
        <f t="shared" si="2"/>
        <v>1724.1229999999998</v>
      </c>
      <c r="AA12" s="12">
        <v>934.3</v>
      </c>
      <c r="AB12" s="12">
        <v>737.8</v>
      </c>
      <c r="AC12" s="12">
        <v>952</v>
      </c>
      <c r="AD12" s="12">
        <v>792</v>
      </c>
      <c r="AE12" s="12">
        <v>906.9</v>
      </c>
      <c r="AF12" s="12">
        <v>740.2</v>
      </c>
      <c r="AG12" s="12">
        <v>913.7</v>
      </c>
      <c r="AH12" s="12">
        <v>797.6</v>
      </c>
      <c r="AI12" s="11"/>
      <c r="AJ12" s="12">
        <v>890.44199999999989</v>
      </c>
      <c r="AK12" s="12">
        <v>834.88900000000001</v>
      </c>
      <c r="AL12" s="12">
        <v>1338.3050999999996</v>
      </c>
      <c r="AM12" s="12">
        <v>996.495</v>
      </c>
      <c r="AN12" s="12">
        <v>929.89689999999996</v>
      </c>
      <c r="AO12" s="12">
        <v>864.66200000000003</v>
      </c>
      <c r="AP12" s="12">
        <v>1407.827</v>
      </c>
      <c r="AQ12" s="12">
        <v>926.5229999999998</v>
      </c>
    </row>
    <row r="13" spans="1:43" s="28" customFormat="1" x14ac:dyDescent="0.2">
      <c r="A13" s="28" t="s">
        <v>34</v>
      </c>
      <c r="B13" s="28">
        <f t="shared" ref="B13:S13" si="3">+B12/F12-1</f>
        <v>6.4732023344220124E-2</v>
      </c>
      <c r="C13" s="28">
        <f t="shared" si="3"/>
        <v>0.26826124319679168</v>
      </c>
      <c r="D13" s="28">
        <f t="shared" si="3"/>
        <v>0.19340653652218665</v>
      </c>
      <c r="E13" s="28">
        <f t="shared" si="3"/>
        <v>0.22552934036314798</v>
      </c>
      <c r="F13" s="28">
        <f t="shared" si="3"/>
        <v>0.12464623351598725</v>
      </c>
      <c r="G13" s="28">
        <f t="shared" si="3"/>
        <v>2.4730314816173715E-2</v>
      </c>
      <c r="H13" s="28">
        <f t="shared" si="3"/>
        <v>-1.1137111517367626E-2</v>
      </c>
      <c r="I13" s="28">
        <f t="shared" si="3"/>
        <v>-1.0081943591735532E-2</v>
      </c>
      <c r="J13" s="28">
        <f t="shared" si="3"/>
        <v>-2.1636289299209466E-2</v>
      </c>
      <c r="K13" s="28">
        <f t="shared" si="3"/>
        <v>-0.12456017612870185</v>
      </c>
      <c r="L13" s="28">
        <f t="shared" si="3"/>
        <v>-0.13410221619176843</v>
      </c>
      <c r="M13" s="28">
        <f t="shared" si="3"/>
        <v>-9.8180790960451958E-2</v>
      </c>
      <c r="N13" s="28">
        <f t="shared" si="3"/>
        <v>-2.4467816091954031E-2</v>
      </c>
      <c r="O13" s="28">
        <f t="shared" si="3"/>
        <v>4.2591426657736076E-2</v>
      </c>
      <c r="P13" s="28">
        <f t="shared" si="3"/>
        <v>-2.2546419098143256E-2</v>
      </c>
      <c r="Q13" s="28">
        <f t="shared" si="3"/>
        <v>5.6818181818181213E-3</v>
      </c>
      <c r="R13" s="28">
        <f t="shared" si="3"/>
        <v>-3.6011080332409962E-2</v>
      </c>
      <c r="S13" s="28">
        <f t="shared" si="3"/>
        <v>-4.417413572343154E-2</v>
      </c>
      <c r="T13" s="28">
        <f>+T12/X12-1</f>
        <v>-2.5641312808336925E-2</v>
      </c>
      <c r="U13" s="28">
        <f>+U12/Y12-1</f>
        <v>2.0808840204556311E-2</v>
      </c>
      <c r="AA13" s="11"/>
      <c r="AB13" s="11"/>
      <c r="AC13" s="11"/>
      <c r="AD13" s="11"/>
      <c r="AE13" s="11"/>
      <c r="AF13" s="11"/>
      <c r="AG13" s="11"/>
      <c r="AH13" s="11"/>
      <c r="AI13" s="11"/>
      <c r="AJ13" s="11"/>
      <c r="AK13" s="11"/>
      <c r="AL13" s="11"/>
      <c r="AM13" s="11"/>
      <c r="AN13" s="11"/>
      <c r="AO13" s="11"/>
      <c r="AP13" s="11"/>
      <c r="AQ13" s="11"/>
    </row>
    <row r="14" spans="1:43"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2" t="s">
        <v>32</v>
      </c>
      <c r="V14" s="31"/>
      <c r="W14" s="31"/>
      <c r="X14" s="31"/>
      <c r="Y14" s="31"/>
      <c r="AA14" s="11"/>
      <c r="AB14" s="11"/>
      <c r="AC14" s="11"/>
      <c r="AD14" s="11"/>
      <c r="AE14" s="11"/>
      <c r="AF14" s="11"/>
      <c r="AG14" s="11"/>
      <c r="AH14" s="11"/>
      <c r="AI14" s="11"/>
      <c r="AJ14" s="11"/>
      <c r="AK14" s="11"/>
      <c r="AL14" s="11"/>
      <c r="AM14" s="11"/>
      <c r="AN14" s="11"/>
      <c r="AO14" s="11"/>
      <c r="AP14" s="11"/>
      <c r="AQ14" s="11"/>
    </row>
    <row r="15" spans="1:43" x14ac:dyDescent="0.2">
      <c r="AA15" s="11"/>
      <c r="AB15" s="11"/>
      <c r="AC15" s="11"/>
      <c r="AD15" s="11"/>
      <c r="AE15" s="11"/>
      <c r="AF15" s="11"/>
      <c r="AG15" s="11"/>
      <c r="AH15" s="11"/>
      <c r="AI15" s="11"/>
      <c r="AJ15" s="11"/>
      <c r="AK15" s="11"/>
      <c r="AL15" s="11"/>
      <c r="AM15" s="11"/>
      <c r="AN15" s="11"/>
      <c r="AO15" s="11"/>
      <c r="AP15" s="11"/>
      <c r="AQ15" s="11"/>
    </row>
    <row r="16" spans="1:43" s="22" customFormat="1" x14ac:dyDescent="0.2">
      <c r="A16" s="30" t="s">
        <v>31</v>
      </c>
      <c r="B16" s="29">
        <v>393.3</v>
      </c>
      <c r="C16" s="29">
        <v>310.39999999999998</v>
      </c>
      <c r="D16" s="29">
        <v>404.96100000000001</v>
      </c>
      <c r="E16" s="29">
        <v>386.07900000000001</v>
      </c>
      <c r="F16" s="29">
        <v>324.78399999999999</v>
      </c>
      <c r="G16" s="29">
        <v>154.26100000000011</v>
      </c>
      <c r="H16" s="29">
        <v>309.57499999999999</v>
      </c>
      <c r="I16" s="29">
        <v>249.25700000000001</v>
      </c>
      <c r="J16" s="29">
        <v>258.74299999999999</v>
      </c>
      <c r="K16" s="29">
        <f>148.154</f>
        <v>148.154</v>
      </c>
      <c r="L16" s="29">
        <v>352.5</v>
      </c>
      <c r="M16" s="29">
        <v>226.839</v>
      </c>
      <c r="N16" s="29">
        <v>256.98700000000002</v>
      </c>
      <c r="O16" s="29">
        <v>159.453</v>
      </c>
      <c r="P16" s="29">
        <v>318</v>
      </c>
      <c r="Q16" s="29">
        <v>214</v>
      </c>
      <c r="R16" s="29">
        <v>223</v>
      </c>
      <c r="S16" s="29">
        <v>116</v>
      </c>
      <c r="T16" s="29">
        <v>289</v>
      </c>
      <c r="U16" s="29">
        <v>190</v>
      </c>
      <c r="V16" s="29">
        <v>230</v>
      </c>
      <c r="W16" s="29">
        <v>139</v>
      </c>
      <c r="X16" s="29">
        <f t="shared" ref="X16:Y16" si="4">AG16+AP16</f>
        <v>289.18899999999974</v>
      </c>
      <c r="Y16" s="29">
        <f t="shared" si="4"/>
        <v>195.66499999999974</v>
      </c>
      <c r="AA16" s="61">
        <v>125.19999999999999</v>
      </c>
      <c r="AB16" s="61">
        <v>53.800000000000004</v>
      </c>
      <c r="AC16" s="61">
        <v>103.19999999999999</v>
      </c>
      <c r="AD16" s="61">
        <v>85.1</v>
      </c>
      <c r="AE16" s="61">
        <v>128.30000000000001</v>
      </c>
      <c r="AF16" s="61">
        <v>65.72399999999999</v>
      </c>
      <c r="AG16" s="61">
        <v>111.69999999999999</v>
      </c>
      <c r="AH16" s="61">
        <v>77.099999999999994</v>
      </c>
      <c r="AI16" s="20"/>
      <c r="AJ16" s="61">
        <v>101.42899999999992</v>
      </c>
      <c r="AK16" s="61">
        <v>84.086000000000027</v>
      </c>
      <c r="AL16" s="61">
        <v>167.0231000000004</v>
      </c>
      <c r="AM16" s="61">
        <v>94.468999999999994</v>
      </c>
      <c r="AN16" s="61">
        <v>113.76689999999991</v>
      </c>
      <c r="AO16" s="61">
        <v>89.479999999999961</v>
      </c>
      <c r="AP16" s="61">
        <v>177.48899999999978</v>
      </c>
      <c r="AQ16" s="61">
        <v>118.56499999999976</v>
      </c>
    </row>
    <row r="17" spans="1:43" s="28" customFormat="1" x14ac:dyDescent="0.2">
      <c r="A17" s="28" t="s">
        <v>30</v>
      </c>
      <c r="B17" s="28">
        <f t="shared" ref="B17" si="5">+B16/B12</f>
        <v>0.19777733078547724</v>
      </c>
      <c r="C17" s="28">
        <f t="shared" ref="C17:D17" si="6">+C16/C12</f>
        <v>0.17526821005081875</v>
      </c>
      <c r="D17" s="28">
        <f t="shared" si="6"/>
        <v>0.17923934120321461</v>
      </c>
      <c r="E17" s="28">
        <f t="shared" ref="E17:F17" si="7">+E16/E12</f>
        <v>0.19937030465398256</v>
      </c>
      <c r="F17" s="28">
        <f t="shared" si="7"/>
        <v>0.17389516517642017</v>
      </c>
      <c r="G17" s="28">
        <f t="shared" ref="G17:H17" si="8">+G16/G12</f>
        <v>0.11047049556001153</v>
      </c>
      <c r="H17" s="28">
        <f t="shared" si="8"/>
        <v>0.16352133819429554</v>
      </c>
      <c r="I17" s="28">
        <f t="shared" ref="I17:J17" si="9">+I16/I12</f>
        <v>0.15774491544034119</v>
      </c>
      <c r="J17" s="28">
        <f t="shared" si="9"/>
        <v>0.15580357680496176</v>
      </c>
      <c r="K17" s="28">
        <f t="shared" ref="K17:L17" si="10">+K16/K12</f>
        <v>0.10872092169956703</v>
      </c>
      <c r="L17" s="28">
        <f t="shared" si="10"/>
        <v>0.18412118046487333</v>
      </c>
      <c r="M17" s="28">
        <f t="shared" ref="M17:Y17" si="11">+M16/M12</f>
        <v>0.1421101101351944</v>
      </c>
      <c r="N17" s="28">
        <f t="shared" si="11"/>
        <v>0.15139805800076117</v>
      </c>
      <c r="O17" s="28">
        <f t="shared" si="11"/>
        <v>0.10243744495175028</v>
      </c>
      <c r="P17" s="28">
        <f t="shared" si="11"/>
        <v>0.14382632293080055</v>
      </c>
      <c r="Q17" s="28">
        <f t="shared" si="11"/>
        <v>0.12090395480225989</v>
      </c>
      <c r="R17" s="28">
        <f t="shared" si="11"/>
        <v>0.12816091954022987</v>
      </c>
      <c r="S17" s="28">
        <f t="shared" si="11"/>
        <v>7.7695914266577362E-2</v>
      </c>
      <c r="T17" s="28">
        <f t="shared" si="11"/>
        <v>0.12776304155614501</v>
      </c>
      <c r="U17" s="28">
        <f t="shared" si="11"/>
        <v>0.10795454545454546</v>
      </c>
      <c r="V17" s="28">
        <f t="shared" si="11"/>
        <v>0.12742382271468145</v>
      </c>
      <c r="W17" s="28">
        <f t="shared" si="11"/>
        <v>8.8988476312419976E-2</v>
      </c>
      <c r="X17" s="28">
        <f t="shared" si="11"/>
        <v>0.12456844137500866</v>
      </c>
      <c r="Y17" s="28">
        <f t="shared" si="11"/>
        <v>0.11348668279467286</v>
      </c>
      <c r="AA17" s="11"/>
      <c r="AB17" s="11"/>
      <c r="AC17" s="11"/>
      <c r="AD17" s="11"/>
      <c r="AE17" s="11"/>
      <c r="AF17" s="11"/>
      <c r="AG17" s="11"/>
      <c r="AH17" s="11"/>
      <c r="AI17" s="11"/>
      <c r="AJ17" s="11"/>
      <c r="AK17" s="11"/>
      <c r="AL17" s="11"/>
      <c r="AM17" s="11"/>
      <c r="AN17" s="11"/>
      <c r="AO17" s="11"/>
      <c r="AP17" s="11"/>
      <c r="AQ17" s="11"/>
    </row>
    <row r="18" spans="1:43" s="23" customFormat="1" x14ac:dyDescent="0.2">
      <c r="AA18" s="11"/>
      <c r="AB18" s="11"/>
      <c r="AC18" s="11"/>
      <c r="AD18" s="11"/>
      <c r="AE18" s="11"/>
      <c r="AF18" s="11"/>
      <c r="AG18" s="11"/>
      <c r="AH18" s="11"/>
      <c r="AI18" s="11"/>
      <c r="AJ18" s="11"/>
      <c r="AK18" s="11"/>
      <c r="AL18" s="11"/>
      <c r="AM18" s="11"/>
      <c r="AN18" s="11"/>
      <c r="AO18" s="11"/>
      <c r="AP18" s="11"/>
      <c r="AQ18" s="11"/>
    </row>
    <row r="19" spans="1:43"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AA19" s="11"/>
      <c r="AB19" s="11"/>
      <c r="AC19" s="11"/>
      <c r="AD19" s="11"/>
      <c r="AE19" s="11"/>
      <c r="AF19" s="11"/>
      <c r="AG19" s="11"/>
      <c r="AH19" s="11"/>
      <c r="AI19" s="11"/>
      <c r="AJ19" s="11"/>
      <c r="AK19" s="11"/>
      <c r="AL19" s="11"/>
      <c r="AM19" s="11"/>
      <c r="AN19" s="11"/>
      <c r="AO19" s="11"/>
      <c r="AP19" s="11"/>
      <c r="AQ19" s="11"/>
    </row>
    <row r="20" spans="1:43"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AA20" s="11"/>
      <c r="AB20" s="11"/>
      <c r="AC20" s="11"/>
      <c r="AD20" s="11"/>
      <c r="AE20" s="11"/>
      <c r="AF20" s="11"/>
      <c r="AG20" s="11"/>
      <c r="AH20" s="11"/>
      <c r="AI20" s="11"/>
      <c r="AJ20" s="11"/>
      <c r="AK20" s="11"/>
      <c r="AL20" s="11"/>
      <c r="AM20" s="11"/>
      <c r="AN20" s="11"/>
      <c r="AO20" s="11"/>
      <c r="AP20" s="11"/>
      <c r="AQ20" s="11"/>
    </row>
    <row r="21" spans="1:43"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f t="shared" ref="X21:Y21" si="12">X22-X16</f>
        <v>7.9000000000000341</v>
      </c>
      <c r="Y21" s="19">
        <f t="shared" si="12"/>
        <v>15.100000000000023</v>
      </c>
      <c r="AA21" s="11">
        <f t="shared" ref="AA21:AH21" si="13">AA22-AA16</f>
        <v>10</v>
      </c>
      <c r="AB21" s="11">
        <f t="shared" si="13"/>
        <v>6.9999999999999929</v>
      </c>
      <c r="AC21" s="11">
        <f t="shared" si="13"/>
        <v>16.400000000000006</v>
      </c>
      <c r="AD21" s="11">
        <f t="shared" si="13"/>
        <v>5.5849999999999937</v>
      </c>
      <c r="AE21" s="11">
        <f t="shared" si="13"/>
        <v>2.8999999999999773</v>
      </c>
      <c r="AF21" s="11">
        <f t="shared" si="13"/>
        <v>7.3150000000000119</v>
      </c>
      <c r="AG21" s="11">
        <f t="shared" si="13"/>
        <v>7.9000000000000057</v>
      </c>
      <c r="AH21" s="11">
        <f t="shared" si="13"/>
        <v>15.099999999999994</v>
      </c>
      <c r="AI21" s="11"/>
      <c r="AJ21" s="11"/>
      <c r="AK21" s="11"/>
      <c r="AL21" s="11"/>
      <c r="AM21" s="11"/>
      <c r="AN21" s="11"/>
      <c r="AO21" s="11"/>
      <c r="AP21" s="11"/>
      <c r="AQ21" s="11"/>
    </row>
    <row r="22" spans="1:43" s="22" customFormat="1" x14ac:dyDescent="0.2">
      <c r="A22" s="22" t="s">
        <v>23</v>
      </c>
      <c r="B22" s="20">
        <f t="shared" ref="B22" si="14">B16+B19+B20+B21</f>
        <v>393.3</v>
      </c>
      <c r="C22" s="20">
        <f t="shared" ref="C22:D22" si="15">C16+C19+C20+C21</f>
        <v>310.39999999999998</v>
      </c>
      <c r="D22" s="20">
        <f t="shared" si="15"/>
        <v>404.96100000000001</v>
      </c>
      <c r="E22" s="20">
        <f t="shared" ref="E22:F22" si="16">E16+E19+E20+E21</f>
        <v>386.07900000000001</v>
      </c>
      <c r="F22" s="20">
        <f t="shared" si="16"/>
        <v>324.78399999999999</v>
      </c>
      <c r="G22" s="20">
        <f t="shared" ref="G22:L22" si="17">G16+G19+G20+G21</f>
        <v>154.26100000000011</v>
      </c>
      <c r="H22" s="20">
        <f t="shared" si="17"/>
        <v>309.57499999999999</v>
      </c>
      <c r="I22" s="20">
        <f t="shared" si="17"/>
        <v>249.25700000000001</v>
      </c>
      <c r="J22" s="20">
        <f t="shared" si="17"/>
        <v>258.74299999999999</v>
      </c>
      <c r="K22" s="20">
        <f t="shared" si="17"/>
        <v>148.154</v>
      </c>
      <c r="L22" s="20">
        <f t="shared" si="17"/>
        <v>352.5</v>
      </c>
      <c r="M22" s="20">
        <f t="shared" ref="M22:W22" si="18">M16+M19+M20+M21</f>
        <v>226.839</v>
      </c>
      <c r="N22" s="20">
        <f t="shared" si="18"/>
        <v>256.98700000000002</v>
      </c>
      <c r="O22" s="20">
        <f t="shared" si="18"/>
        <v>159.453</v>
      </c>
      <c r="P22" s="20">
        <f t="shared" si="18"/>
        <v>318</v>
      </c>
      <c r="Q22" s="20">
        <f t="shared" si="18"/>
        <v>214</v>
      </c>
      <c r="R22" s="20">
        <f t="shared" si="18"/>
        <v>223</v>
      </c>
      <c r="S22" s="20">
        <f t="shared" si="18"/>
        <v>116</v>
      </c>
      <c r="T22" s="20">
        <f t="shared" si="18"/>
        <v>289</v>
      </c>
      <c r="U22" s="20">
        <f t="shared" si="18"/>
        <v>190</v>
      </c>
      <c r="V22" s="20">
        <f t="shared" si="18"/>
        <v>230</v>
      </c>
      <c r="W22" s="20">
        <f t="shared" si="18"/>
        <v>139</v>
      </c>
      <c r="X22" s="20">
        <f t="shared" ref="X22:Y22" si="19">AG22+AP22</f>
        <v>297.08899999999977</v>
      </c>
      <c r="Y22" s="20">
        <f t="shared" si="19"/>
        <v>210.76499999999976</v>
      </c>
      <c r="AA22" s="61">
        <v>135.19999999999999</v>
      </c>
      <c r="AB22" s="61">
        <v>60.8</v>
      </c>
      <c r="AC22" s="61">
        <v>119.6</v>
      </c>
      <c r="AD22" s="61">
        <v>90.684999999999988</v>
      </c>
      <c r="AE22" s="61">
        <v>131.19999999999999</v>
      </c>
      <c r="AF22" s="61">
        <v>73.039000000000001</v>
      </c>
      <c r="AG22" s="61">
        <v>119.6</v>
      </c>
      <c r="AH22" s="61">
        <v>92.199999999999989</v>
      </c>
      <c r="AI22" s="20"/>
      <c r="AJ22" s="61">
        <f t="shared" ref="AJ22:AQ22" si="20">AJ16+AJ19+AJ20+AJ21</f>
        <v>101.42899999999992</v>
      </c>
      <c r="AK22" s="61">
        <f t="shared" si="20"/>
        <v>84.086000000000027</v>
      </c>
      <c r="AL22" s="61">
        <f t="shared" si="20"/>
        <v>167.0231000000004</v>
      </c>
      <c r="AM22" s="61">
        <f t="shared" si="20"/>
        <v>94.468999999999994</v>
      </c>
      <c r="AN22" s="61">
        <f t="shared" si="20"/>
        <v>113.76689999999991</v>
      </c>
      <c r="AO22" s="61">
        <f t="shared" si="20"/>
        <v>89.479999999999961</v>
      </c>
      <c r="AP22" s="61">
        <f t="shared" si="20"/>
        <v>177.48899999999978</v>
      </c>
      <c r="AQ22" s="61">
        <f t="shared" si="20"/>
        <v>118.56499999999976</v>
      </c>
    </row>
    <row r="23" spans="1:43" s="22" customFormat="1" x14ac:dyDescent="0.2">
      <c r="B23" s="28"/>
      <c r="C23" s="28"/>
      <c r="D23" s="28"/>
      <c r="E23" s="28"/>
      <c r="F23" s="28"/>
      <c r="G23" s="28"/>
      <c r="H23" s="28"/>
      <c r="I23" s="28"/>
      <c r="J23" s="28"/>
      <c r="K23" s="28"/>
      <c r="L23" s="28"/>
      <c r="M23" s="20"/>
      <c r="N23" s="20"/>
      <c r="O23" s="20"/>
      <c r="P23" s="20"/>
      <c r="Q23" s="20"/>
      <c r="R23" s="20"/>
      <c r="S23" s="20"/>
      <c r="T23" s="20"/>
      <c r="U23" s="20"/>
      <c r="V23" s="20"/>
      <c r="W23" s="20"/>
      <c r="X23" s="20"/>
      <c r="Y23" s="20"/>
      <c r="AA23" s="20"/>
      <c r="AB23" s="20"/>
      <c r="AC23" s="20"/>
      <c r="AD23" s="20"/>
      <c r="AE23" s="20"/>
      <c r="AF23" s="20"/>
      <c r="AG23" s="20"/>
      <c r="AH23" s="20"/>
      <c r="AI23" s="20"/>
      <c r="AJ23" s="20"/>
      <c r="AK23" s="20"/>
      <c r="AL23" s="20"/>
      <c r="AM23" s="20"/>
      <c r="AN23" s="20"/>
      <c r="AO23" s="20"/>
      <c r="AP23" s="20"/>
      <c r="AQ23" s="20"/>
    </row>
    <row r="24" spans="1:43" s="22" customFormat="1" x14ac:dyDescent="0.2">
      <c r="A24" s="22" t="s">
        <v>27</v>
      </c>
      <c r="B24" s="20">
        <f t="shared" ref="B24:T24" si="21">SUM(B22:E22)</f>
        <v>1494.74</v>
      </c>
      <c r="C24" s="20">
        <f t="shared" si="21"/>
        <v>1426.2240000000002</v>
      </c>
      <c r="D24" s="20">
        <f t="shared" si="21"/>
        <v>1270.0850000000003</v>
      </c>
      <c r="E24" s="20">
        <f t="shared" si="21"/>
        <v>1174.6990000000001</v>
      </c>
      <c r="F24" s="20">
        <f t="shared" si="21"/>
        <v>1037.8770000000002</v>
      </c>
      <c r="G24" s="20">
        <f t="shared" si="21"/>
        <v>971.83600000000001</v>
      </c>
      <c r="H24" s="20">
        <f t="shared" si="21"/>
        <v>965.72900000000004</v>
      </c>
      <c r="I24" s="20">
        <f t="shared" si="21"/>
        <v>1008.654</v>
      </c>
      <c r="J24" s="20">
        <f t="shared" si="21"/>
        <v>986.23599999999988</v>
      </c>
      <c r="K24" s="20">
        <f t="shared" si="21"/>
        <v>984.48</v>
      </c>
      <c r="L24" s="20">
        <f t="shared" si="21"/>
        <v>995.779</v>
      </c>
      <c r="M24" s="20">
        <f t="shared" si="21"/>
        <v>961.279</v>
      </c>
      <c r="N24" s="20">
        <f t="shared" si="21"/>
        <v>948.44</v>
      </c>
      <c r="O24" s="20">
        <f t="shared" si="21"/>
        <v>914.45299999999997</v>
      </c>
      <c r="P24" s="20">
        <f t="shared" si="21"/>
        <v>871</v>
      </c>
      <c r="Q24" s="20">
        <f t="shared" si="21"/>
        <v>842</v>
      </c>
      <c r="R24" s="20">
        <f t="shared" si="21"/>
        <v>818</v>
      </c>
      <c r="S24" s="20">
        <f t="shared" si="21"/>
        <v>825</v>
      </c>
      <c r="T24" s="20">
        <f t="shared" si="21"/>
        <v>848</v>
      </c>
      <c r="U24" s="20">
        <f>SUM(U22:X22)</f>
        <v>856.08899999999971</v>
      </c>
      <c r="V24" s="20">
        <f>SUM(V22:Y22)</f>
        <v>876.85399999999947</v>
      </c>
      <c r="W24" s="20"/>
      <c r="X24" s="20"/>
      <c r="Y24" s="20"/>
      <c r="AA24" s="20"/>
      <c r="AB24" s="20"/>
      <c r="AC24" s="20"/>
      <c r="AD24" s="20"/>
      <c r="AE24" s="20"/>
      <c r="AF24" s="20"/>
      <c r="AG24" s="20"/>
      <c r="AH24" s="20"/>
      <c r="AI24" s="20"/>
      <c r="AJ24" s="20"/>
      <c r="AK24" s="20"/>
      <c r="AL24" s="20"/>
      <c r="AM24" s="20"/>
      <c r="AN24" s="20"/>
      <c r="AO24" s="20"/>
      <c r="AP24" s="20"/>
      <c r="AQ24" s="20"/>
    </row>
    <row r="25" spans="1:43" s="23" customFormat="1" x14ac:dyDescent="0.2">
      <c r="A25" s="15" t="s">
        <v>26</v>
      </c>
      <c r="B25" s="27">
        <v>0</v>
      </c>
      <c r="C25" s="27">
        <v>0</v>
      </c>
      <c r="D25" s="27">
        <v>0</v>
      </c>
      <c r="E25" s="27">
        <f>1175-E24</f>
        <v>0.30099999999993088</v>
      </c>
      <c r="F25" s="27">
        <f>1038-F24</f>
        <v>0.12299999999981992</v>
      </c>
      <c r="G25" s="27">
        <f>1019-G24</f>
        <v>47.163999999999987</v>
      </c>
      <c r="H25" s="27">
        <f>1039-H24</f>
        <v>73.270999999999958</v>
      </c>
      <c r="I25" s="27">
        <f>1119-I24</f>
        <v>110.346</v>
      </c>
      <c r="J25" s="27">
        <f>1165-J24</f>
        <v>178.76400000000012</v>
      </c>
      <c r="K25" s="27">
        <f>1231-K24</f>
        <v>246.51999999999998</v>
      </c>
      <c r="L25" s="27">
        <f>1304.9-L24</f>
        <v>309.12100000000009</v>
      </c>
      <c r="M25" s="27">
        <f>1364.2-M24</f>
        <v>402.92100000000005</v>
      </c>
      <c r="N25" s="27">
        <v>0</v>
      </c>
      <c r="O25" s="27">
        <v>0</v>
      </c>
      <c r="P25" s="27">
        <v>0</v>
      </c>
      <c r="Q25" s="27">
        <v>0</v>
      </c>
      <c r="R25" s="27">
        <v>0</v>
      </c>
      <c r="S25" s="27">
        <v>0</v>
      </c>
      <c r="T25" s="27">
        <v>0</v>
      </c>
      <c r="U25" s="27">
        <v>0</v>
      </c>
      <c r="V25" s="27">
        <v>0</v>
      </c>
      <c r="W25" s="27"/>
      <c r="X25" s="27"/>
      <c r="Y25" s="27"/>
      <c r="AA25" s="11"/>
      <c r="AB25" s="11"/>
      <c r="AC25" s="11"/>
      <c r="AD25" s="11"/>
      <c r="AE25" s="11"/>
      <c r="AF25" s="11"/>
      <c r="AG25" s="11"/>
      <c r="AH25" s="11"/>
      <c r="AI25" s="11"/>
      <c r="AJ25" s="11"/>
      <c r="AK25" s="11"/>
      <c r="AL25" s="11"/>
      <c r="AM25" s="11"/>
      <c r="AN25" s="11"/>
      <c r="AO25" s="11"/>
      <c r="AP25" s="11"/>
      <c r="AQ25" s="11"/>
    </row>
    <row r="26" spans="1:43"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6"/>
      <c r="X26" s="26"/>
      <c r="Y26" s="26"/>
      <c r="AA26" s="11"/>
      <c r="AB26" s="11"/>
      <c r="AC26" s="11"/>
      <c r="AD26" s="11"/>
      <c r="AE26" s="11"/>
      <c r="AF26" s="11"/>
      <c r="AG26" s="11"/>
      <c r="AH26" s="11"/>
      <c r="AI26" s="11"/>
      <c r="AJ26" s="11"/>
      <c r="AK26" s="11"/>
      <c r="AL26" s="11"/>
      <c r="AM26" s="11"/>
      <c r="AN26" s="11"/>
      <c r="AO26" s="11"/>
      <c r="AP26" s="11"/>
      <c r="AQ26" s="11"/>
    </row>
    <row r="27" spans="1:43" s="24" customFormat="1" x14ac:dyDescent="0.2">
      <c r="A27" s="22" t="s">
        <v>24</v>
      </c>
      <c r="B27" s="20">
        <f t="shared" ref="B27" si="22">SUM(B24:B26)</f>
        <v>1494.74</v>
      </c>
      <c r="C27" s="20">
        <f t="shared" ref="C27:D27" si="23">SUM(C24:C26)</f>
        <v>1426.2240000000002</v>
      </c>
      <c r="D27" s="20">
        <f t="shared" si="23"/>
        <v>1270.0850000000003</v>
      </c>
      <c r="E27" s="20">
        <f t="shared" ref="E27:F27" si="24">SUM(E24:E26)</f>
        <v>1175</v>
      </c>
      <c r="F27" s="20">
        <f t="shared" si="24"/>
        <v>1038</v>
      </c>
      <c r="G27" s="20">
        <f t="shared" ref="G27:H27" si="25">SUM(G24:G26)</f>
        <v>1019</v>
      </c>
      <c r="H27" s="20">
        <f t="shared" si="25"/>
        <v>1039</v>
      </c>
      <c r="I27" s="20">
        <f t="shared" ref="I27:J27" si="26">SUM(I24:I26)</f>
        <v>1119</v>
      </c>
      <c r="J27" s="20">
        <f t="shared" si="26"/>
        <v>1165</v>
      </c>
      <c r="K27" s="20">
        <f t="shared" ref="K27:V27" si="27">SUM(K24:K26)</f>
        <v>1231</v>
      </c>
      <c r="L27" s="20">
        <f t="shared" si="27"/>
        <v>1304.9000000000001</v>
      </c>
      <c r="M27" s="20">
        <f t="shared" si="27"/>
        <v>1364.2</v>
      </c>
      <c r="N27" s="20">
        <f t="shared" si="27"/>
        <v>948.44</v>
      </c>
      <c r="O27" s="20">
        <f t="shared" si="27"/>
        <v>914.45299999999997</v>
      </c>
      <c r="P27" s="20">
        <f t="shared" si="27"/>
        <v>871</v>
      </c>
      <c r="Q27" s="20">
        <f t="shared" si="27"/>
        <v>842</v>
      </c>
      <c r="R27" s="20">
        <f t="shared" si="27"/>
        <v>818</v>
      </c>
      <c r="S27" s="20">
        <f t="shared" si="27"/>
        <v>825</v>
      </c>
      <c r="T27" s="20">
        <f t="shared" si="27"/>
        <v>848</v>
      </c>
      <c r="U27" s="20">
        <f t="shared" si="27"/>
        <v>856.08899999999971</v>
      </c>
      <c r="V27" s="20">
        <f t="shared" si="27"/>
        <v>876.85399999999947</v>
      </c>
      <c r="W27" s="25"/>
      <c r="X27" s="25"/>
      <c r="Y27" s="25"/>
      <c r="AA27" s="20"/>
      <c r="AB27" s="20"/>
      <c r="AC27" s="20"/>
      <c r="AD27" s="20"/>
      <c r="AE27" s="20"/>
      <c r="AF27" s="20"/>
      <c r="AG27" s="20"/>
      <c r="AH27" s="20"/>
      <c r="AI27" s="20"/>
      <c r="AJ27" s="20"/>
      <c r="AK27" s="20"/>
      <c r="AL27" s="20"/>
      <c r="AM27" s="20"/>
      <c r="AN27" s="20"/>
      <c r="AO27" s="20"/>
      <c r="AP27" s="20"/>
      <c r="AQ27" s="20"/>
    </row>
    <row r="28" spans="1:43" s="23" customFormat="1" x14ac:dyDescent="0.2">
      <c r="AA28" s="11"/>
      <c r="AB28" s="11"/>
      <c r="AC28" s="11"/>
      <c r="AD28" s="11"/>
      <c r="AE28" s="11"/>
      <c r="AF28" s="11"/>
      <c r="AG28" s="11"/>
      <c r="AH28" s="11"/>
      <c r="AI28" s="11"/>
      <c r="AJ28" s="11"/>
      <c r="AK28" s="11"/>
      <c r="AL28" s="11"/>
      <c r="AM28" s="11"/>
      <c r="AN28" s="11"/>
      <c r="AO28" s="11"/>
      <c r="AP28" s="11"/>
      <c r="AQ28" s="11"/>
    </row>
    <row r="29" spans="1:43" s="22" customFormat="1" x14ac:dyDescent="0.2">
      <c r="A29" s="22" t="s">
        <v>23</v>
      </c>
      <c r="B29" s="20">
        <f t="shared" ref="B29" si="28">B22</f>
        <v>393.3</v>
      </c>
      <c r="C29" s="20">
        <f t="shared" ref="C29:D29" si="29">C22</f>
        <v>310.39999999999998</v>
      </c>
      <c r="D29" s="20">
        <f t="shared" si="29"/>
        <v>404.96100000000001</v>
      </c>
      <c r="E29" s="20">
        <f t="shared" ref="E29:F29" si="30">E22</f>
        <v>386.07900000000001</v>
      </c>
      <c r="F29" s="20">
        <f t="shared" si="30"/>
        <v>324.78399999999999</v>
      </c>
      <c r="G29" s="20">
        <f t="shared" ref="G29:J29" si="31">G22</f>
        <v>154.26100000000011</v>
      </c>
      <c r="H29" s="20">
        <f t="shared" si="31"/>
        <v>309.57499999999999</v>
      </c>
      <c r="I29" s="20">
        <f t="shared" si="31"/>
        <v>249.25700000000001</v>
      </c>
      <c r="J29" s="20">
        <f t="shared" si="31"/>
        <v>258.74299999999999</v>
      </c>
      <c r="K29" s="20">
        <f t="shared" ref="K29:O29" si="32">K22</f>
        <v>148.154</v>
      </c>
      <c r="L29" s="20">
        <f t="shared" si="32"/>
        <v>352.5</v>
      </c>
      <c r="M29" s="20">
        <f t="shared" si="32"/>
        <v>226.839</v>
      </c>
      <c r="N29" s="20">
        <f t="shared" si="32"/>
        <v>256.98700000000002</v>
      </c>
      <c r="O29" s="20">
        <f t="shared" si="32"/>
        <v>159.453</v>
      </c>
      <c r="P29" s="20"/>
      <c r="Q29" s="20"/>
      <c r="R29" s="20">
        <f t="shared" ref="R29:Y29" si="33">R22</f>
        <v>223</v>
      </c>
      <c r="S29" s="20">
        <f t="shared" si="33"/>
        <v>116</v>
      </c>
      <c r="T29" s="20">
        <f t="shared" si="33"/>
        <v>289</v>
      </c>
      <c r="U29" s="20">
        <f t="shared" si="33"/>
        <v>190</v>
      </c>
      <c r="V29" s="20">
        <f t="shared" si="33"/>
        <v>230</v>
      </c>
      <c r="W29" s="20">
        <f t="shared" si="33"/>
        <v>139</v>
      </c>
      <c r="X29" s="20">
        <f t="shared" si="33"/>
        <v>297.08899999999977</v>
      </c>
      <c r="Y29" s="20">
        <f t="shared" si="33"/>
        <v>210.76499999999976</v>
      </c>
      <c r="AA29" s="20"/>
      <c r="AB29" s="20"/>
      <c r="AC29" s="20"/>
      <c r="AD29" s="20"/>
      <c r="AE29" s="20"/>
      <c r="AF29" s="20"/>
      <c r="AG29" s="20"/>
      <c r="AH29" s="20"/>
      <c r="AI29" s="20"/>
      <c r="AJ29" s="20"/>
      <c r="AK29" s="20"/>
      <c r="AL29" s="20"/>
      <c r="AM29" s="20"/>
      <c r="AN29" s="20"/>
      <c r="AO29" s="20"/>
      <c r="AP29" s="20"/>
      <c r="AQ29" s="20"/>
    </row>
    <row r="30" spans="1:43" s="11" customFormat="1" x14ac:dyDescent="0.2">
      <c r="A30" s="19" t="s">
        <v>22</v>
      </c>
      <c r="B30" s="19"/>
      <c r="C30" s="19">
        <v>-69.789000000000001</v>
      </c>
      <c r="D30" s="19">
        <v>-73.111000000000047</v>
      </c>
      <c r="E30" s="19">
        <v>-75.016000000000005</v>
      </c>
      <c r="F30" s="19">
        <v>-75.214999999999989</v>
      </c>
      <c r="G30" s="19">
        <v>-76.991</v>
      </c>
      <c r="H30" s="19">
        <v>-80.033000000000015</v>
      </c>
      <c r="I30" s="19">
        <f>-279.698-J30-K30</f>
        <v>-92.48399999999998</v>
      </c>
      <c r="J30" s="19">
        <f>-187.214-K30</f>
        <v>-93.944999999999993</v>
      </c>
      <c r="K30" s="19">
        <v>-93.269000000000005</v>
      </c>
      <c r="L30" s="19">
        <v>-93.965000000000003</v>
      </c>
      <c r="M30" s="19">
        <f>-187.171-N30-O30</f>
        <v>-65.608999999999995</v>
      </c>
      <c r="N30" s="19">
        <f>-121.562-O30</f>
        <v>-60.384</v>
      </c>
      <c r="O30" s="19">
        <v>-61.177999999999997</v>
      </c>
      <c r="P30" s="19"/>
      <c r="Q30" s="19"/>
      <c r="R30" s="19">
        <f t="shared" ref="R30:W32" si="34">AA30+AJ30</f>
        <v>-33.290000000000006</v>
      </c>
      <c r="S30" s="19">
        <f t="shared" si="34"/>
        <v>-31.924999999999997</v>
      </c>
      <c r="T30" s="19">
        <f t="shared" si="34"/>
        <v>-34.266500000000001</v>
      </c>
      <c r="U30" s="19">
        <f t="shared" si="34"/>
        <v>-29.1235</v>
      </c>
      <c r="V30" s="19">
        <f t="shared" si="34"/>
        <v>-32.004000000000005</v>
      </c>
      <c r="W30" s="19">
        <f t="shared" si="34"/>
        <v>-33.069000000000003</v>
      </c>
      <c r="X30" s="19">
        <f t="shared" ref="X30:Y32" si="35">AG30+AP30</f>
        <v>-32.152000000000001</v>
      </c>
      <c r="Y30" s="19">
        <f t="shared" si="35"/>
        <v>-28.900999999999996</v>
      </c>
      <c r="AA30" s="12">
        <v>-25.601000000000003</v>
      </c>
      <c r="AB30" s="12">
        <v>-24.248999999999999</v>
      </c>
      <c r="AC30" s="12">
        <v>-26.353499999999997</v>
      </c>
      <c r="AD30" s="12">
        <v>-23.0715</v>
      </c>
      <c r="AE30" s="12">
        <v>-23.719000000000001</v>
      </c>
      <c r="AF30" s="12">
        <v>-23.838000000000001</v>
      </c>
      <c r="AG30" s="12">
        <v>-23.972999999999999</v>
      </c>
      <c r="AH30" s="12">
        <v>-22.559999999999995</v>
      </c>
      <c r="AJ30" s="12">
        <v>-7.6890000000000001</v>
      </c>
      <c r="AK30" s="12">
        <v>-7.6760000000000002</v>
      </c>
      <c r="AL30" s="12">
        <v>-7.9130000000000038</v>
      </c>
      <c r="AM30" s="12">
        <v>-6.0519999999999996</v>
      </c>
      <c r="AN30" s="12">
        <v>-8.2850000000000001</v>
      </c>
      <c r="AO30" s="12">
        <v>-9.2309999999999999</v>
      </c>
      <c r="AP30" s="12">
        <v>-8.179000000000002</v>
      </c>
      <c r="AQ30" s="12">
        <v>-6.3410000000000002</v>
      </c>
    </row>
    <row r="31" spans="1:43" s="11" customFormat="1" x14ac:dyDescent="0.2">
      <c r="A31" s="19" t="s">
        <v>21</v>
      </c>
      <c r="B31" s="19"/>
      <c r="C31" s="19">
        <v>-6.4089999999999998</v>
      </c>
      <c r="D31" s="19">
        <v>5.8450000000000006</v>
      </c>
      <c r="E31" s="19">
        <v>-17.099</v>
      </c>
      <c r="F31" s="19">
        <v>-0.32</v>
      </c>
      <c r="G31" s="19">
        <v>-0.14599999999999999</v>
      </c>
      <c r="H31" s="19">
        <v>65.364999999999995</v>
      </c>
      <c r="I31" s="19">
        <f>-1.191-J31-K31</f>
        <v>-2.077</v>
      </c>
      <c r="J31" s="19">
        <f>0.886-K31</f>
        <v>-2.044</v>
      </c>
      <c r="K31" s="19">
        <v>2.93</v>
      </c>
      <c r="L31" s="19">
        <v>-35.133000000000003</v>
      </c>
      <c r="M31" s="19">
        <f>0.136-N31-O31</f>
        <v>-0.37</v>
      </c>
      <c r="N31" s="19">
        <f>0.506-O31</f>
        <v>-0.38900000000000001</v>
      </c>
      <c r="O31" s="19">
        <v>0.89500000000000002</v>
      </c>
      <c r="P31" s="19"/>
      <c r="Q31" s="19"/>
      <c r="R31" s="19">
        <f t="shared" si="34"/>
        <v>-25.734000000000002</v>
      </c>
      <c r="S31" s="19">
        <f t="shared" si="34"/>
        <v>-10.999000000000001</v>
      </c>
      <c r="T31" s="19">
        <f t="shared" si="34"/>
        <v>7.9999999999955662E-3</v>
      </c>
      <c r="U31" s="19">
        <f t="shared" si="34"/>
        <v>-25.055</v>
      </c>
      <c r="V31" s="19">
        <f t="shared" si="34"/>
        <v>-28.401</v>
      </c>
      <c r="W31" s="19">
        <f t="shared" si="34"/>
        <v>-10.824</v>
      </c>
      <c r="X31" s="19">
        <f t="shared" si="35"/>
        <v>-68.194999999999993</v>
      </c>
      <c r="Y31" s="19">
        <f t="shared" si="35"/>
        <v>-28.308999999999997</v>
      </c>
      <c r="AJ31" s="12">
        <f>-21.919-3.815</f>
        <v>-25.734000000000002</v>
      </c>
      <c r="AK31" s="12">
        <f>-12.343+1.344</f>
        <v>-10.999000000000001</v>
      </c>
      <c r="AL31" s="12">
        <f>-47.252+47.26</f>
        <v>7.9999999999955662E-3</v>
      </c>
      <c r="AM31" s="12">
        <f>-15.819-9.236</f>
        <v>-25.055</v>
      </c>
      <c r="AN31" s="12">
        <f>-24.445-3.956</f>
        <v>-28.401</v>
      </c>
      <c r="AO31" s="12">
        <f>-13.137+2.313</f>
        <v>-10.824</v>
      </c>
      <c r="AP31" s="12">
        <f>-44.486-23.709</f>
        <v>-68.194999999999993</v>
      </c>
      <c r="AQ31" s="12">
        <f>-24.316-3.993</f>
        <v>-28.308999999999997</v>
      </c>
    </row>
    <row r="32" spans="1:43" s="11" customFormat="1" x14ac:dyDescent="0.2">
      <c r="A32" s="19" t="s">
        <v>20</v>
      </c>
      <c r="B32" s="19"/>
      <c r="C32" s="19">
        <v>378.56200000000001</v>
      </c>
      <c r="D32" s="19">
        <f>-60.656+373.542+5.909+1.754+293.776+135.285+17.491-13.651-E32-F32-G32</f>
        <v>137.1459999999999</v>
      </c>
      <c r="E32" s="19">
        <f>36.789+1.417+296.502+5.605+5.915+375.457-105.381-F32-G32</f>
        <v>135.98300000000012</v>
      </c>
      <c r="F32" s="19">
        <v>485.26099999999997</v>
      </c>
      <c r="G32" s="19">
        <v>-4.9399999999999906</v>
      </c>
      <c r="H32" s="19">
        <v>58.521000000000072</v>
      </c>
      <c r="I32" s="19">
        <f>63.349-0.966-325.524-38.234+6.9+53.822-94.653-J32-K32</f>
        <v>-129.80000000000001</v>
      </c>
      <c r="J32" s="19">
        <f>40.191-102.452-20.729+10.431-63.983-0.409-68.555-K32</f>
        <v>-2.1479999999999961</v>
      </c>
      <c r="K32" s="19">
        <f>78.976-0.252-93.147-5.79+1.487-136.245-48.387</f>
        <v>-203.358</v>
      </c>
      <c r="L32" s="19">
        <v>117.01799999999996</v>
      </c>
      <c r="M32" s="19">
        <f>79.971-0.606-197.672-27.993+9.937-2.759+126.966-N32-O32</f>
        <v>-176.65799999999996</v>
      </c>
      <c r="N32" s="19">
        <f>70.026+1.073+39.983-15.851+7.689-47.452-0.705+109.739-O32</f>
        <v>91.412000000000006</v>
      </c>
      <c r="O32" s="19">
        <f>49.22+0.356-54.173-15.19+4.585+37.124+51.168</f>
        <v>73.09</v>
      </c>
      <c r="P32" s="19"/>
      <c r="Q32" s="19"/>
      <c r="R32" s="19">
        <f t="shared" si="34"/>
        <v>63.328999999999979</v>
      </c>
      <c r="S32" s="19">
        <f t="shared" si="34"/>
        <v>-93.181000000000012</v>
      </c>
      <c r="T32" s="19">
        <f t="shared" si="34"/>
        <v>63.595000000000006</v>
      </c>
      <c r="U32" s="19">
        <f t="shared" si="34"/>
        <v>-141.53699999999998</v>
      </c>
      <c r="V32" s="19">
        <f t="shared" si="34"/>
        <v>99.608000000000004</v>
      </c>
      <c r="W32" s="19">
        <f t="shared" si="34"/>
        <v>-112.81800000000001</v>
      </c>
      <c r="X32" s="19">
        <f t="shared" si="35"/>
        <v>242.86999999999998</v>
      </c>
      <c r="Y32" s="19">
        <f t="shared" si="35"/>
        <v>-249.12600000000003</v>
      </c>
      <c r="AA32" s="12">
        <v>-3.9159999999999968</v>
      </c>
      <c r="AB32" s="12">
        <v>-70.699999999999989</v>
      </c>
      <c r="AC32" s="12">
        <v>42.332999999999984</v>
      </c>
      <c r="AD32" s="12">
        <v>-100.12899999999999</v>
      </c>
      <c r="AE32" s="12">
        <v>52.563000000000002</v>
      </c>
      <c r="AF32" s="12">
        <v>-46.401000000000003</v>
      </c>
      <c r="AG32" s="12">
        <v>65.681999999999988</v>
      </c>
      <c r="AH32" s="12">
        <v>-70.332000000000008</v>
      </c>
      <c r="AJ32" s="12">
        <v>67.244999999999976</v>
      </c>
      <c r="AK32" s="12">
        <v>-22.481000000000016</v>
      </c>
      <c r="AL32" s="12">
        <v>21.262000000000022</v>
      </c>
      <c r="AM32" s="12">
        <v>-41.407999999999987</v>
      </c>
      <c r="AN32" s="12">
        <v>47.045000000000002</v>
      </c>
      <c r="AO32" s="12">
        <v>-66.417000000000002</v>
      </c>
      <c r="AP32" s="12">
        <v>177.18799999999999</v>
      </c>
      <c r="AQ32" s="12">
        <v>-178.79400000000001</v>
      </c>
    </row>
    <row r="33" spans="1:43" s="11" customFormat="1" x14ac:dyDescent="0.2">
      <c r="A33" s="19" t="s">
        <v>19</v>
      </c>
      <c r="B33" s="19"/>
      <c r="C33" s="19">
        <v>0</v>
      </c>
      <c r="D33" s="19">
        <v>0</v>
      </c>
      <c r="E33" s="19">
        <v>0</v>
      </c>
      <c r="F33" s="19">
        <v>0</v>
      </c>
      <c r="G33" s="19">
        <v>0</v>
      </c>
      <c r="H33" s="19">
        <v>0</v>
      </c>
      <c r="I33" s="19">
        <v>0</v>
      </c>
      <c r="J33" s="19">
        <v>0</v>
      </c>
      <c r="K33" s="19">
        <v>0</v>
      </c>
      <c r="L33" s="19">
        <v>0</v>
      </c>
      <c r="M33" s="19">
        <v>0</v>
      </c>
      <c r="N33" s="19">
        <v>0</v>
      </c>
      <c r="O33" s="19">
        <v>0</v>
      </c>
      <c r="P33" s="19"/>
      <c r="Q33" s="19"/>
      <c r="R33" s="19">
        <v>0</v>
      </c>
      <c r="S33" s="19">
        <v>0</v>
      </c>
      <c r="T33" s="19">
        <v>0</v>
      </c>
      <c r="U33" s="19">
        <v>0</v>
      </c>
      <c r="V33" s="19">
        <v>0</v>
      </c>
      <c r="W33" s="19">
        <v>0</v>
      </c>
      <c r="X33" s="19">
        <v>0</v>
      </c>
      <c r="Y33" s="19">
        <v>0</v>
      </c>
    </row>
    <row r="34" spans="1:43" s="11" customFormat="1" x14ac:dyDescent="0.2">
      <c r="A34" s="19" t="s">
        <v>18</v>
      </c>
      <c r="B34" s="21"/>
      <c r="C34" s="21">
        <v>0</v>
      </c>
      <c r="D34" s="21">
        <v>0</v>
      </c>
      <c r="E34" s="21">
        <v>0</v>
      </c>
      <c r="F34" s="21">
        <v>0</v>
      </c>
      <c r="G34" s="21">
        <v>0</v>
      </c>
      <c r="H34" s="21">
        <v>0</v>
      </c>
      <c r="I34" s="21">
        <v>0</v>
      </c>
      <c r="J34" s="21">
        <v>0</v>
      </c>
      <c r="K34" s="21">
        <v>0</v>
      </c>
      <c r="L34" s="21">
        <v>0</v>
      </c>
      <c r="M34" s="21">
        <v>0</v>
      </c>
      <c r="N34" s="21">
        <v>0</v>
      </c>
      <c r="O34" s="21">
        <v>0</v>
      </c>
      <c r="P34" s="21"/>
      <c r="Q34" s="21"/>
      <c r="R34" s="21">
        <v>0</v>
      </c>
      <c r="S34" s="21">
        <v>0</v>
      </c>
      <c r="T34" s="21">
        <v>0</v>
      </c>
      <c r="U34" s="21">
        <v>0</v>
      </c>
      <c r="V34" s="21">
        <v>0</v>
      </c>
      <c r="W34" s="21">
        <v>0</v>
      </c>
      <c r="X34" s="21">
        <v>0</v>
      </c>
      <c r="Y34" s="21">
        <v>0</v>
      </c>
    </row>
    <row r="35" spans="1:43" s="20" customFormat="1" x14ac:dyDescent="0.2">
      <c r="A35" s="20" t="s">
        <v>17</v>
      </c>
      <c r="B35" s="20">
        <v>335.79500000000002</v>
      </c>
      <c r="C35" s="20">
        <v>600.36500000000001</v>
      </c>
      <c r="D35" s="20">
        <f>1685.995-E35-F35-G35</f>
        <v>472.76399999999984</v>
      </c>
      <c r="E35" s="20">
        <f>1213.231-F35-G35</f>
        <v>437.63900000000007</v>
      </c>
      <c r="F35" s="20">
        <v>724.21399999999994</v>
      </c>
      <c r="G35" s="20">
        <v>51.378</v>
      </c>
      <c r="H35" s="20">
        <v>318.15499999999997</v>
      </c>
      <c r="I35" s="20">
        <f>-13.984-J35-K35</f>
        <v>9.6769999999999925</v>
      </c>
      <c r="J35" s="20">
        <f>-23.661-K35</f>
        <v>142.922</v>
      </c>
      <c r="K35" s="20">
        <v>-166.583</v>
      </c>
      <c r="L35" s="20">
        <v>173.27500000000003</v>
      </c>
      <c r="M35" s="20">
        <f>242.708-N35-O35</f>
        <v>-45.667999999999985</v>
      </c>
      <c r="N35" s="20">
        <f>288.376-O35</f>
        <v>244.85999999999999</v>
      </c>
      <c r="O35" s="20">
        <v>43.515999999999998</v>
      </c>
      <c r="R35" s="20">
        <f t="shared" ref="R35:W36" si="36">AA35+AJ35</f>
        <v>274.73</v>
      </c>
      <c r="S35" s="20">
        <f t="shared" si="36"/>
        <v>35.207999999999998</v>
      </c>
      <c r="T35" s="20">
        <f t="shared" si="36"/>
        <v>353.82499999999993</v>
      </c>
      <c r="U35" s="20">
        <f t="shared" si="36"/>
        <v>33.315000000000012</v>
      </c>
      <c r="V35" s="20">
        <f t="shared" si="36"/>
        <v>306.404</v>
      </c>
      <c r="W35" s="20">
        <f t="shared" si="36"/>
        <v>24.597000000000001</v>
      </c>
      <c r="X35" s="20">
        <f t="shared" ref="X35:Y36" si="37">AG35+AP35</f>
        <v>467.11799999999994</v>
      </c>
      <c r="Y35" s="20">
        <f t="shared" si="37"/>
        <v>-82.274000000000001</v>
      </c>
      <c r="AA35" s="61">
        <v>94.210000000000008</v>
      </c>
      <c r="AB35" s="61">
        <v>-39.875</v>
      </c>
      <c r="AC35" s="61">
        <v>131.017</v>
      </c>
      <c r="AD35" s="61">
        <v>-32.053999999999988</v>
      </c>
      <c r="AE35" s="61">
        <v>154.571</v>
      </c>
      <c r="AF35" s="61">
        <v>-0.79300000000000004</v>
      </c>
      <c r="AG35" s="61">
        <v>154.90799999999999</v>
      </c>
      <c r="AH35" s="61">
        <v>-15.178000000000004</v>
      </c>
      <c r="AJ35" s="61">
        <v>180.52</v>
      </c>
      <c r="AK35" s="61">
        <v>75.082999999999998</v>
      </c>
      <c r="AL35" s="61">
        <v>222.80799999999996</v>
      </c>
      <c r="AM35" s="61">
        <v>65.369</v>
      </c>
      <c r="AN35" s="61">
        <v>151.83300000000003</v>
      </c>
      <c r="AO35" s="61">
        <v>25.39</v>
      </c>
      <c r="AP35" s="61">
        <v>312.20999999999998</v>
      </c>
      <c r="AQ35" s="61">
        <v>-67.095999999999989</v>
      </c>
    </row>
    <row r="36" spans="1:43" s="11" customFormat="1" x14ac:dyDescent="0.2">
      <c r="A36" s="19" t="s">
        <v>16</v>
      </c>
      <c r="B36" s="21">
        <v>-62.811</v>
      </c>
      <c r="C36" s="21">
        <v>-27.484000000000002</v>
      </c>
      <c r="D36" s="21">
        <f>-85.996-E36-F36-G36</f>
        <v>-42.009</v>
      </c>
      <c r="E36" s="21">
        <f>-43.987-F36-G36</f>
        <v>-10.492999999999999</v>
      </c>
      <c r="F36" s="21">
        <v>-10.562000000000001</v>
      </c>
      <c r="G36" s="21">
        <v>-22.931999999999999</v>
      </c>
      <c r="H36" s="21">
        <v>-60.266999999999996</v>
      </c>
      <c r="I36" s="21">
        <f>-99.01-J36-K36</f>
        <v>-26.847999999999999</v>
      </c>
      <c r="J36" s="21">
        <f>-72.162-K36</f>
        <v>-39.866000000000007</v>
      </c>
      <c r="K36" s="21">
        <v>-32.295999999999999</v>
      </c>
      <c r="L36" s="21">
        <v>-75.565999999999988</v>
      </c>
      <c r="M36" s="21">
        <f>-100.42-N36-O36</f>
        <v>-30.457000000000008</v>
      </c>
      <c r="N36" s="21">
        <f>-69.963-O36</f>
        <v>-45.407999999999994</v>
      </c>
      <c r="O36" s="21">
        <v>-24.555</v>
      </c>
      <c r="P36" s="21"/>
      <c r="Q36" s="21"/>
      <c r="R36" s="21">
        <f t="shared" si="36"/>
        <v>-43.673000000000002</v>
      </c>
      <c r="S36" s="21">
        <f t="shared" si="36"/>
        <v>-39.69</v>
      </c>
      <c r="T36" s="21">
        <f t="shared" si="36"/>
        <v>-53.264000000000003</v>
      </c>
      <c r="U36" s="21">
        <f t="shared" si="36"/>
        <v>-42.399999999999991</v>
      </c>
      <c r="V36" s="21">
        <f t="shared" si="36"/>
        <v>-53.724000000000004</v>
      </c>
      <c r="W36" s="21">
        <f t="shared" si="36"/>
        <v>-69.86</v>
      </c>
      <c r="X36" s="21">
        <f t="shared" si="37"/>
        <v>-89.152999999999992</v>
      </c>
      <c r="Y36" s="21">
        <f t="shared" si="37"/>
        <v>-132.91700000000003</v>
      </c>
      <c r="AA36" s="12">
        <v>-24</v>
      </c>
      <c r="AB36" s="12">
        <v>-13.4</v>
      </c>
      <c r="AC36" s="12">
        <v>-28.699999999999996</v>
      </c>
      <c r="AD36" s="12">
        <v>-15.3</v>
      </c>
      <c r="AE36" s="12">
        <v>-15.8</v>
      </c>
      <c r="AF36" s="12">
        <v>-8.5</v>
      </c>
      <c r="AG36" s="12">
        <v>-18.600000000000001</v>
      </c>
      <c r="AH36" s="12">
        <v>-11.799999999999997</v>
      </c>
      <c r="AJ36" s="12">
        <v>-19.673000000000002</v>
      </c>
      <c r="AK36" s="12">
        <v>-26.29</v>
      </c>
      <c r="AL36" s="12">
        <v>-24.564000000000007</v>
      </c>
      <c r="AM36" s="12">
        <v>-27.099999999999994</v>
      </c>
      <c r="AN36" s="12">
        <v>-37.924000000000007</v>
      </c>
      <c r="AO36" s="12">
        <v>-61.36</v>
      </c>
      <c r="AP36" s="12">
        <v>-70.552999999999997</v>
      </c>
      <c r="AQ36" s="12">
        <v>-121.11700000000002</v>
      </c>
    </row>
    <row r="37" spans="1:43" s="20" customFormat="1" x14ac:dyDescent="0.2">
      <c r="A37" s="20" t="s">
        <v>15</v>
      </c>
      <c r="B37" s="20">
        <f t="shared" ref="B37:O37" si="38">B35+B36</f>
        <v>272.98400000000004</v>
      </c>
      <c r="C37" s="20">
        <f t="shared" si="38"/>
        <v>572.88099999999997</v>
      </c>
      <c r="D37" s="20">
        <f t="shared" si="38"/>
        <v>430.75499999999982</v>
      </c>
      <c r="E37" s="20">
        <f t="shared" si="38"/>
        <v>427.14600000000007</v>
      </c>
      <c r="F37" s="20">
        <f t="shared" si="38"/>
        <v>713.65199999999993</v>
      </c>
      <c r="G37" s="20">
        <f t="shared" si="38"/>
        <v>28.446000000000002</v>
      </c>
      <c r="H37" s="20">
        <f t="shared" si="38"/>
        <v>257.88799999999998</v>
      </c>
      <c r="I37" s="20">
        <f t="shared" si="38"/>
        <v>-17.171000000000006</v>
      </c>
      <c r="J37" s="20">
        <f t="shared" si="38"/>
        <v>103.05599999999998</v>
      </c>
      <c r="K37" s="20">
        <f t="shared" si="38"/>
        <v>-198.87899999999999</v>
      </c>
      <c r="L37" s="20">
        <f t="shared" si="38"/>
        <v>97.709000000000046</v>
      </c>
      <c r="M37" s="20">
        <f t="shared" si="38"/>
        <v>-76.125</v>
      </c>
      <c r="N37" s="20">
        <f t="shared" si="38"/>
        <v>199.452</v>
      </c>
      <c r="O37" s="20">
        <f t="shared" si="38"/>
        <v>18.960999999999999</v>
      </c>
      <c r="P37" s="78" t="s">
        <v>83</v>
      </c>
      <c r="Q37" s="78" t="s">
        <v>83</v>
      </c>
      <c r="R37" s="20">
        <f t="shared" ref="R37:Y37" si="39">+R35+R36</f>
        <v>231.05700000000002</v>
      </c>
      <c r="S37" s="20">
        <f t="shared" si="39"/>
        <v>-4.4819999999999993</v>
      </c>
      <c r="T37" s="20">
        <f t="shared" si="39"/>
        <v>300.56099999999992</v>
      </c>
      <c r="U37" s="20">
        <f t="shared" si="39"/>
        <v>-9.0849999999999795</v>
      </c>
      <c r="V37" s="20">
        <f t="shared" si="39"/>
        <v>252.68</v>
      </c>
      <c r="W37" s="20">
        <f t="shared" si="39"/>
        <v>-45.262999999999998</v>
      </c>
      <c r="X37" s="20">
        <f t="shared" si="39"/>
        <v>377.96499999999992</v>
      </c>
      <c r="Y37" s="20">
        <f t="shared" si="39"/>
        <v>-215.19100000000003</v>
      </c>
      <c r="AA37" s="20">
        <f t="shared" ref="AA37:AH37" si="40">+AA35+AA36</f>
        <v>70.210000000000008</v>
      </c>
      <c r="AB37" s="20">
        <f t="shared" si="40"/>
        <v>-53.274999999999999</v>
      </c>
      <c r="AC37" s="20">
        <f t="shared" si="40"/>
        <v>102.31700000000001</v>
      </c>
      <c r="AD37" s="20">
        <f t="shared" si="40"/>
        <v>-47.353999999999985</v>
      </c>
      <c r="AE37" s="20">
        <f t="shared" si="40"/>
        <v>138.77099999999999</v>
      </c>
      <c r="AF37" s="20">
        <f t="shared" si="40"/>
        <v>-9.2929999999999993</v>
      </c>
      <c r="AG37" s="20">
        <f t="shared" si="40"/>
        <v>136.30799999999999</v>
      </c>
      <c r="AH37" s="20">
        <f t="shared" si="40"/>
        <v>-26.978000000000002</v>
      </c>
      <c r="AJ37" s="20">
        <f t="shared" ref="AJ37:AQ37" si="41">+AJ35+AJ36</f>
        <v>160.84700000000001</v>
      </c>
      <c r="AK37" s="20">
        <f t="shared" si="41"/>
        <v>48.792999999999999</v>
      </c>
      <c r="AL37" s="20">
        <f t="shared" si="41"/>
        <v>198.24399999999997</v>
      </c>
      <c r="AM37" s="20">
        <f t="shared" si="41"/>
        <v>38.269000000000005</v>
      </c>
      <c r="AN37" s="20">
        <f t="shared" si="41"/>
        <v>113.90900000000002</v>
      </c>
      <c r="AO37" s="20">
        <f t="shared" si="41"/>
        <v>-35.97</v>
      </c>
      <c r="AP37" s="20">
        <f t="shared" si="41"/>
        <v>241.65699999999998</v>
      </c>
      <c r="AQ37" s="20">
        <f t="shared" si="41"/>
        <v>-188.21300000000002</v>
      </c>
    </row>
    <row r="39" spans="1:43" s="16" customFormat="1" x14ac:dyDescent="0.2">
      <c r="A39" s="18" t="s">
        <v>14</v>
      </c>
      <c r="B39" s="19">
        <v>75</v>
      </c>
      <c r="C39" s="19">
        <v>75</v>
      </c>
      <c r="D39" s="19">
        <v>75</v>
      </c>
      <c r="E39" s="19">
        <v>75</v>
      </c>
      <c r="F39" s="19">
        <v>75</v>
      </c>
      <c r="G39" s="19">
        <v>743</v>
      </c>
      <c r="H39" s="19">
        <f>147+75</f>
        <v>222</v>
      </c>
      <c r="I39" s="19">
        <v>450</v>
      </c>
      <c r="J39" s="19">
        <v>75</v>
      </c>
      <c r="K39" s="19">
        <v>271</v>
      </c>
      <c r="L39" s="19">
        <f>M39</f>
        <v>725</v>
      </c>
      <c r="M39" s="19">
        <f>650+75</f>
        <v>725</v>
      </c>
      <c r="N39" s="19">
        <v>75</v>
      </c>
      <c r="O39" s="19">
        <v>75</v>
      </c>
      <c r="P39" s="19">
        <v>75</v>
      </c>
      <c r="Q39" s="19">
        <v>575</v>
      </c>
      <c r="R39" s="19">
        <f>500+75</f>
        <v>575</v>
      </c>
      <c r="S39" s="19"/>
      <c r="T39" s="19"/>
      <c r="U39" s="19"/>
      <c r="V39" s="19"/>
      <c r="W39" s="19"/>
      <c r="X39" s="19"/>
      <c r="Y39" s="19"/>
    </row>
    <row r="40" spans="1:43" s="16" customFormat="1" x14ac:dyDescent="0.2">
      <c r="A40" s="18" t="s">
        <v>13</v>
      </c>
      <c r="B40" s="19">
        <f>5074-B39</f>
        <v>4999</v>
      </c>
      <c r="C40" s="19">
        <f>4500+472</f>
        <v>4972</v>
      </c>
      <c r="D40" s="19">
        <f>4610.495-D39</f>
        <v>4535.4949999999999</v>
      </c>
      <c r="E40" s="19">
        <f>4116+492</f>
        <v>4608</v>
      </c>
      <c r="F40" s="19">
        <f>4127+501</f>
        <v>4628</v>
      </c>
      <c r="G40" s="19">
        <f>4137+507</f>
        <v>4644</v>
      </c>
      <c r="H40" s="19">
        <f>4148+512</f>
        <v>4660</v>
      </c>
      <c r="I40" s="19">
        <f>4159+481</f>
        <v>4640</v>
      </c>
      <c r="J40" s="19">
        <f>4159+481</f>
        <v>4640</v>
      </c>
      <c r="K40" s="19">
        <f>4169+164</f>
        <v>4333</v>
      </c>
      <c r="L40" s="19">
        <f>M40</f>
        <v>3911</v>
      </c>
      <c r="M40" s="19">
        <f>3740+171</f>
        <v>3911</v>
      </c>
      <c r="N40" s="19">
        <f>2946+172</f>
        <v>3118</v>
      </c>
      <c r="O40" s="19">
        <f>2955+181</f>
        <v>3136</v>
      </c>
      <c r="P40" s="19">
        <f>2878.515+41.372+40.031+27.315+16.975+16.65+14.528+13.68+13.535+10.502+0.759</f>
        <v>3073.8619999999992</v>
      </c>
      <c r="Q40" s="19">
        <f>2970+194</f>
        <v>3164</v>
      </c>
      <c r="R40" s="19">
        <f>2970+194</f>
        <v>3164</v>
      </c>
      <c r="S40" s="19"/>
      <c r="T40" s="19"/>
      <c r="U40" s="19"/>
      <c r="V40" s="19"/>
      <c r="W40" s="19"/>
      <c r="X40" s="19"/>
      <c r="Y40" s="19"/>
    </row>
    <row r="41" spans="1:43" s="16" customFormat="1" x14ac:dyDescent="0.2">
      <c r="A41" s="18" t="s">
        <v>12</v>
      </c>
      <c r="B41" s="19">
        <f>B39+B40</f>
        <v>5074</v>
      </c>
      <c r="C41" s="19">
        <f>C39+C40</f>
        <v>5047</v>
      </c>
      <c r="D41" s="19">
        <f t="shared" ref="D41:K41" si="42">D39+D40</f>
        <v>4610.4949999999999</v>
      </c>
      <c r="E41" s="19">
        <f t="shared" si="42"/>
        <v>4683</v>
      </c>
      <c r="F41" s="19">
        <f t="shared" si="42"/>
        <v>4703</v>
      </c>
      <c r="G41" s="19">
        <f t="shared" si="42"/>
        <v>5387</v>
      </c>
      <c r="H41" s="19">
        <f t="shared" si="42"/>
        <v>4882</v>
      </c>
      <c r="I41" s="19">
        <f t="shared" si="42"/>
        <v>5090</v>
      </c>
      <c r="J41" s="19">
        <f t="shared" si="42"/>
        <v>4715</v>
      </c>
      <c r="K41" s="19">
        <f t="shared" si="42"/>
        <v>4604</v>
      </c>
      <c r="L41" s="19">
        <f>M41</f>
        <v>4636</v>
      </c>
      <c r="M41" s="19">
        <f t="shared" ref="M41:R41" si="43">M39+M40</f>
        <v>4636</v>
      </c>
      <c r="N41" s="19">
        <f t="shared" si="43"/>
        <v>3193</v>
      </c>
      <c r="O41" s="19">
        <f t="shared" si="43"/>
        <v>3211</v>
      </c>
      <c r="P41" s="19">
        <f t="shared" si="43"/>
        <v>3148.8619999999992</v>
      </c>
      <c r="Q41" s="19">
        <f t="shared" si="43"/>
        <v>3739</v>
      </c>
      <c r="R41" s="19">
        <f t="shared" si="43"/>
        <v>3739</v>
      </c>
      <c r="S41" s="19"/>
      <c r="T41" s="19"/>
      <c r="U41" s="19"/>
      <c r="V41" s="19"/>
      <c r="W41" s="19"/>
      <c r="X41" s="19"/>
      <c r="Y41" s="19"/>
    </row>
    <row r="42" spans="1:43" s="16" customFormat="1" x14ac:dyDescent="0.2">
      <c r="A42" s="18" t="s">
        <v>11</v>
      </c>
      <c r="B42" s="17">
        <f t="shared" ref="B42:K42" si="44">C42</f>
        <v>0</v>
      </c>
      <c r="C42" s="17">
        <f t="shared" si="44"/>
        <v>0</v>
      </c>
      <c r="D42" s="17">
        <f t="shared" si="44"/>
        <v>0</v>
      </c>
      <c r="E42" s="17">
        <f t="shared" si="44"/>
        <v>0</v>
      </c>
      <c r="F42" s="17">
        <f t="shared" si="44"/>
        <v>0</v>
      </c>
      <c r="G42" s="17">
        <f t="shared" si="44"/>
        <v>0</v>
      </c>
      <c r="H42" s="17">
        <f t="shared" si="44"/>
        <v>0</v>
      </c>
      <c r="I42" s="17">
        <f t="shared" si="44"/>
        <v>0</v>
      </c>
      <c r="J42" s="17">
        <f t="shared" si="44"/>
        <v>0</v>
      </c>
      <c r="K42" s="17">
        <f t="shared" si="44"/>
        <v>0</v>
      </c>
      <c r="L42" s="17">
        <f>M42</f>
        <v>0</v>
      </c>
      <c r="M42" s="17">
        <v>0</v>
      </c>
      <c r="N42" s="17">
        <v>0</v>
      </c>
      <c r="O42" s="17">
        <v>0</v>
      </c>
      <c r="P42" s="17">
        <v>0</v>
      </c>
      <c r="Q42" s="17">
        <v>0</v>
      </c>
      <c r="R42" s="17">
        <v>0</v>
      </c>
      <c r="S42" s="17"/>
      <c r="T42" s="17"/>
      <c r="U42" s="17"/>
      <c r="V42" s="17"/>
      <c r="W42" s="17"/>
      <c r="X42" s="17"/>
      <c r="Y42" s="17"/>
    </row>
    <row r="43" spans="1:43" x14ac:dyDescent="0.2">
      <c r="B43" s="16"/>
      <c r="C43" s="16"/>
      <c r="D43" s="16"/>
      <c r="E43" s="16"/>
      <c r="F43" s="16"/>
      <c r="G43" s="16"/>
      <c r="H43" s="16"/>
      <c r="I43" s="16"/>
      <c r="J43" s="16"/>
      <c r="K43" s="16"/>
      <c r="L43" s="16"/>
      <c r="M43" s="16"/>
      <c r="N43" s="16"/>
      <c r="O43" s="16"/>
      <c r="P43" s="16"/>
      <c r="Q43" s="16"/>
      <c r="R43" s="16"/>
      <c r="S43" s="16"/>
      <c r="T43" s="16"/>
      <c r="AB43" s="16"/>
    </row>
    <row r="44" spans="1:43" x14ac:dyDescent="0.2">
      <c r="A44" s="15" t="s">
        <v>10</v>
      </c>
      <c r="B44" s="14">
        <v>1124</v>
      </c>
      <c r="C44" s="14">
        <v>1094</v>
      </c>
      <c r="D44" s="14">
        <v>480</v>
      </c>
      <c r="E44" s="14">
        <v>515.48299999999995</v>
      </c>
      <c r="F44" s="14">
        <v>551.346</v>
      </c>
      <c r="G44" s="14">
        <v>632</v>
      </c>
      <c r="H44" s="14">
        <v>82</v>
      </c>
      <c r="I44" s="14">
        <v>53.34</v>
      </c>
      <c r="J44" s="14">
        <v>180.83799999999999</v>
      </c>
      <c r="K44" s="14">
        <v>42.061999999999998</v>
      </c>
      <c r="L44" s="14">
        <f>M44</f>
        <v>22</v>
      </c>
      <c r="M44" s="14">
        <v>22</v>
      </c>
      <c r="N44" s="14">
        <v>185</v>
      </c>
      <c r="O44" s="14">
        <v>62.25</v>
      </c>
      <c r="P44" s="14">
        <v>71.138000000000005</v>
      </c>
      <c r="Q44" s="14">
        <v>287</v>
      </c>
      <c r="R44" s="14">
        <v>75</v>
      </c>
      <c r="S44" s="14"/>
      <c r="T44" s="14"/>
      <c r="U44" s="14"/>
      <c r="V44" s="14"/>
      <c r="W44" s="14"/>
      <c r="X44" s="14"/>
      <c r="Y44" s="14"/>
    </row>
    <row r="46" spans="1:43" x14ac:dyDescent="0.2">
      <c r="A46" s="1" t="s">
        <v>9</v>
      </c>
      <c r="B46" s="11">
        <f t="shared" ref="B46:T46" si="45">SUM(B12:E12)</f>
        <v>7955.4229999999998</v>
      </c>
      <c r="C46" s="11">
        <f t="shared" si="45"/>
        <v>7834.5229999999992</v>
      </c>
      <c r="D46" s="11">
        <f t="shared" si="45"/>
        <v>7459.9229999999989</v>
      </c>
      <c r="E46" s="11">
        <f t="shared" si="45"/>
        <v>7093.77</v>
      </c>
      <c r="F46" s="11">
        <f t="shared" si="45"/>
        <v>6737.4050000000007</v>
      </c>
      <c r="G46" s="11">
        <f t="shared" si="45"/>
        <v>6530.4049999999997</v>
      </c>
      <c r="H46" s="11">
        <f t="shared" si="45"/>
        <v>6496.704999999999</v>
      </c>
      <c r="I46" s="11">
        <f t="shared" si="45"/>
        <v>6518.027</v>
      </c>
      <c r="J46" s="11">
        <f t="shared" si="45"/>
        <v>6534.12</v>
      </c>
      <c r="K46" s="11">
        <f t="shared" si="45"/>
        <v>6570.8459999999995</v>
      </c>
      <c r="L46" s="11">
        <f t="shared" si="45"/>
        <v>6764.7350000000006</v>
      </c>
      <c r="M46" s="11">
        <f t="shared" si="45"/>
        <v>7061.2349999999997</v>
      </c>
      <c r="N46" s="11">
        <f t="shared" si="45"/>
        <v>7235.0149999999994</v>
      </c>
      <c r="O46" s="11">
        <f t="shared" si="45"/>
        <v>7277.5889999999999</v>
      </c>
      <c r="P46" s="11">
        <f t="shared" si="45"/>
        <v>7214</v>
      </c>
      <c r="Q46" s="11">
        <f t="shared" si="45"/>
        <v>7265</v>
      </c>
      <c r="R46" s="11">
        <f t="shared" si="45"/>
        <v>7255</v>
      </c>
      <c r="S46" s="11">
        <f t="shared" si="45"/>
        <v>7320</v>
      </c>
      <c r="T46" s="11">
        <f t="shared" si="45"/>
        <v>7389</v>
      </c>
      <c r="U46" s="11">
        <f>SUM(U12:X12)</f>
        <v>7448.527</v>
      </c>
      <c r="V46" s="11">
        <f>SUM(V12:Y12)</f>
        <v>7412.65</v>
      </c>
    </row>
    <row r="47" spans="1:43" x14ac:dyDescent="0.2">
      <c r="A47" s="1" t="s">
        <v>8</v>
      </c>
      <c r="B47" s="13">
        <f t="shared" ref="B47:C47" si="46">B27</f>
        <v>1494.74</v>
      </c>
      <c r="C47" s="13">
        <f t="shared" si="46"/>
        <v>1426.2240000000002</v>
      </c>
      <c r="D47" s="13">
        <f t="shared" ref="D47:E47" si="47">D27</f>
        <v>1270.0850000000003</v>
      </c>
      <c r="E47" s="13">
        <f t="shared" si="47"/>
        <v>1175</v>
      </c>
      <c r="F47" s="13">
        <f t="shared" ref="F47:G47" si="48">F27</f>
        <v>1038</v>
      </c>
      <c r="G47" s="13">
        <f t="shared" si="48"/>
        <v>1019</v>
      </c>
      <c r="H47" s="13">
        <f t="shared" ref="H47:M47" si="49">H27</f>
        <v>1039</v>
      </c>
      <c r="I47" s="13">
        <f t="shared" si="49"/>
        <v>1119</v>
      </c>
      <c r="J47" s="13">
        <f t="shared" si="49"/>
        <v>1165</v>
      </c>
      <c r="K47" s="13">
        <f t="shared" si="49"/>
        <v>1231</v>
      </c>
      <c r="L47" s="13">
        <f t="shared" si="49"/>
        <v>1304.9000000000001</v>
      </c>
      <c r="M47" s="13">
        <f t="shared" si="49"/>
        <v>1364.2</v>
      </c>
      <c r="N47" s="11">
        <f>N41/2.55</f>
        <v>1252.1568627450981</v>
      </c>
      <c r="O47" s="11">
        <f>O41/2.76</f>
        <v>1163.4057971014493</v>
      </c>
      <c r="P47" s="11">
        <f t="shared" ref="P47:V47" si="50">+P27</f>
        <v>871</v>
      </c>
      <c r="Q47" s="11">
        <f t="shared" si="50"/>
        <v>842</v>
      </c>
      <c r="R47" s="11">
        <f t="shared" si="50"/>
        <v>818</v>
      </c>
      <c r="S47" s="11">
        <f t="shared" si="50"/>
        <v>825</v>
      </c>
      <c r="T47" s="11">
        <f t="shared" si="50"/>
        <v>848</v>
      </c>
      <c r="U47" s="11">
        <f t="shared" si="50"/>
        <v>856.08899999999971</v>
      </c>
      <c r="V47" s="11">
        <f t="shared" si="50"/>
        <v>876.85399999999947</v>
      </c>
    </row>
    <row r="48" spans="1:43" x14ac:dyDescent="0.2">
      <c r="A48" s="1" t="s">
        <v>7</v>
      </c>
      <c r="B48" s="13">
        <f t="shared" ref="B48:L48" si="51">SUM(B37:E37)</f>
        <v>1703.7660000000001</v>
      </c>
      <c r="C48" s="13">
        <f t="shared" si="51"/>
        <v>2144.4339999999997</v>
      </c>
      <c r="D48" s="13">
        <f t="shared" si="51"/>
        <v>1599.9989999999998</v>
      </c>
      <c r="E48" s="13">
        <f t="shared" si="51"/>
        <v>1427.1319999999998</v>
      </c>
      <c r="F48" s="13">
        <f t="shared" si="51"/>
        <v>982.81499999999983</v>
      </c>
      <c r="G48" s="13">
        <f t="shared" si="51"/>
        <v>372.21899999999999</v>
      </c>
      <c r="H48" s="13">
        <f t="shared" si="51"/>
        <v>144.89399999999998</v>
      </c>
      <c r="I48" s="13">
        <f t="shared" si="51"/>
        <v>-15.284999999999968</v>
      </c>
      <c r="J48" s="13">
        <f t="shared" si="51"/>
        <v>-74.238999999999962</v>
      </c>
      <c r="K48" s="13">
        <f t="shared" si="51"/>
        <v>22.157000000000039</v>
      </c>
      <c r="L48" s="13">
        <f t="shared" si="51"/>
        <v>239.99700000000007</v>
      </c>
      <c r="M48" s="11">
        <f>(M37+N37+O37)/3*4</f>
        <v>189.71733333333336</v>
      </c>
      <c r="N48" s="11">
        <f>(N37+O37)*2</f>
        <v>436.82600000000002</v>
      </c>
      <c r="O48" s="11">
        <f>O37*4</f>
        <v>75.843999999999994</v>
      </c>
      <c r="P48" s="11"/>
      <c r="Q48" s="11"/>
      <c r="R48" s="11">
        <f>+SUM(R37:U37)</f>
        <v>518.05099999999993</v>
      </c>
      <c r="S48" s="11">
        <f>+SUM(S37:V37)</f>
        <v>539.67399999999998</v>
      </c>
      <c r="T48" s="11">
        <f>+SUM(T37:W37)</f>
        <v>498.89299999999997</v>
      </c>
      <c r="U48" s="11">
        <f>+SUM(U37:X37)</f>
        <v>576.29699999999991</v>
      </c>
      <c r="V48" s="11">
        <f>+SUM(V37:Y37)</f>
        <v>370.19099999999992</v>
      </c>
    </row>
    <row r="50" spans="1:25" s="10" customFormat="1" x14ac:dyDescent="0.2">
      <c r="A50" s="10" t="s">
        <v>6</v>
      </c>
      <c r="B50" s="10">
        <f t="shared" ref="B50" si="52">+SUM(B39:B40)/B47</f>
        <v>3.3945702931613524</v>
      </c>
      <c r="C50" s="10">
        <f t="shared" ref="C50:D50" si="53">+SUM(C39:C40)/C47</f>
        <v>3.5387148161859563</v>
      </c>
      <c r="D50" s="10">
        <f t="shared" si="53"/>
        <v>3.6300680663105216</v>
      </c>
      <c r="E50" s="10">
        <f t="shared" ref="E50:F50" si="54">+SUM(E39:E40)/E47</f>
        <v>3.9855319148936168</v>
      </c>
      <c r="F50" s="10">
        <f t="shared" si="54"/>
        <v>4.5308285163776496</v>
      </c>
      <c r="G50" s="10">
        <f t="shared" ref="G50:H50" si="55">+SUM(G39:G40)/G47</f>
        <v>5.2865554465161919</v>
      </c>
      <c r="H50" s="10">
        <f t="shared" si="55"/>
        <v>4.6987487969201158</v>
      </c>
      <c r="I50" s="10">
        <f t="shared" ref="I50:J50" si="56">+SUM(I39:I40)/I47</f>
        <v>4.5487042001787312</v>
      </c>
      <c r="J50" s="10">
        <f t="shared" si="56"/>
        <v>4.0472103004291844</v>
      </c>
      <c r="K50" s="10">
        <f t="shared" ref="K50:L50" si="57">+SUM(K39:K40)/K47</f>
        <v>3.7400487408610887</v>
      </c>
      <c r="L50" s="10">
        <f t="shared" si="57"/>
        <v>3.5527626638056553</v>
      </c>
      <c r="M50" s="10">
        <f t="shared" ref="M50:R50" si="58">+SUM(M39:M40)/M47</f>
        <v>3.3983286908077992</v>
      </c>
      <c r="N50" s="10">
        <f t="shared" si="58"/>
        <v>2.5499999999999998</v>
      </c>
      <c r="O50" s="10">
        <f t="shared" si="58"/>
        <v>2.7600000000000002</v>
      </c>
      <c r="P50" s="10">
        <f t="shared" si="58"/>
        <v>3.6152261768082652</v>
      </c>
      <c r="Q50" s="10">
        <f t="shared" si="58"/>
        <v>4.4406175771971492</v>
      </c>
      <c r="R50" s="10">
        <f t="shared" si="58"/>
        <v>4.570904645476773</v>
      </c>
    </row>
    <row r="51" spans="1:25" s="10" customFormat="1" x14ac:dyDescent="0.2">
      <c r="A51" s="10" t="s">
        <v>5</v>
      </c>
      <c r="B51" s="10">
        <f t="shared" ref="B51" si="59">+B41/B47</f>
        <v>3.3945702931613524</v>
      </c>
      <c r="C51" s="10">
        <f t="shared" ref="C51:D51" si="60">+C41/C47</f>
        <v>3.5387148161859563</v>
      </c>
      <c r="D51" s="10">
        <f t="shared" si="60"/>
        <v>3.6300680663105216</v>
      </c>
      <c r="E51" s="10">
        <f t="shared" ref="E51:F51" si="61">+E41/E47</f>
        <v>3.9855319148936168</v>
      </c>
      <c r="F51" s="10">
        <f t="shared" si="61"/>
        <v>4.5308285163776496</v>
      </c>
      <c r="G51" s="10">
        <f t="shared" ref="G51:H51" si="62">+G41/G47</f>
        <v>5.2865554465161919</v>
      </c>
      <c r="H51" s="10">
        <f t="shared" si="62"/>
        <v>4.6987487969201158</v>
      </c>
      <c r="I51" s="10">
        <f t="shared" ref="I51:J51" si="63">+I41/I47</f>
        <v>4.5487042001787312</v>
      </c>
      <c r="J51" s="10">
        <f t="shared" si="63"/>
        <v>4.0472103004291844</v>
      </c>
      <c r="K51" s="10">
        <f t="shared" ref="K51:L51" si="64">+K41/K47</f>
        <v>3.7400487408610887</v>
      </c>
      <c r="L51" s="10">
        <f t="shared" si="64"/>
        <v>3.5527626638056553</v>
      </c>
      <c r="M51" s="10">
        <f t="shared" ref="M51:R51" si="65">+M41/M47</f>
        <v>3.3983286908077992</v>
      </c>
      <c r="N51" s="10">
        <f t="shared" si="65"/>
        <v>2.5499999999999998</v>
      </c>
      <c r="O51" s="10">
        <f t="shared" si="65"/>
        <v>2.7600000000000002</v>
      </c>
      <c r="P51" s="10">
        <f t="shared" si="65"/>
        <v>3.6152261768082652</v>
      </c>
      <c r="Q51" s="10">
        <f t="shared" si="65"/>
        <v>4.4406175771971492</v>
      </c>
      <c r="R51" s="10">
        <f t="shared" si="65"/>
        <v>4.570904645476773</v>
      </c>
    </row>
    <row r="52" spans="1:25" s="10" customFormat="1" x14ac:dyDescent="0.2">
      <c r="A52" s="10" t="s">
        <v>4</v>
      </c>
      <c r="B52" s="10">
        <f t="shared" ref="B52" si="66">+(B41-B44)/B47</f>
        <v>2.6426000508449632</v>
      </c>
      <c r="C52" s="10">
        <f t="shared" ref="C52:D52" si="67">+(C41-C44)/C47</f>
        <v>2.7716543824812931</v>
      </c>
      <c r="D52" s="10">
        <f t="shared" si="67"/>
        <v>3.2521406047626726</v>
      </c>
      <c r="E52" s="10">
        <f t="shared" ref="E52:F52" si="68">+(E41-E44)/E47</f>
        <v>3.5468229787234042</v>
      </c>
      <c r="F52" s="10">
        <f t="shared" si="68"/>
        <v>3.9996666666666671</v>
      </c>
      <c r="G52" s="10">
        <f t="shared" ref="G52:H52" si="69">+(G41-G44)/G47</f>
        <v>4.666339548577036</v>
      </c>
      <c r="H52" s="10">
        <f t="shared" si="69"/>
        <v>4.6198267564966313</v>
      </c>
      <c r="I52" s="10">
        <f t="shared" ref="I52:J52" si="70">+(I41-I44)/I47</f>
        <v>4.5010366398570154</v>
      </c>
      <c r="J52" s="10">
        <f t="shared" si="70"/>
        <v>3.8919845493562235</v>
      </c>
      <c r="K52" s="10">
        <f t="shared" ref="K52:L52" si="71">+(K41-K44)/K47</f>
        <v>3.7058797725426484</v>
      </c>
      <c r="L52" s="10">
        <f t="shared" si="71"/>
        <v>3.535903134339796</v>
      </c>
      <c r="M52" s="10">
        <f t="shared" ref="M52:R52" si="72">+(M41-M44)/M47</f>
        <v>3.3822020231637588</v>
      </c>
      <c r="N52" s="10">
        <f t="shared" si="72"/>
        <v>2.4022549326652052</v>
      </c>
      <c r="O52" s="10">
        <f t="shared" si="72"/>
        <v>2.7064933042665835</v>
      </c>
      <c r="P52" s="10">
        <f t="shared" si="72"/>
        <v>3.5335522388059695</v>
      </c>
      <c r="Q52" s="10">
        <f t="shared" si="72"/>
        <v>4.0997624703087885</v>
      </c>
      <c r="R52" s="10">
        <f t="shared" si="72"/>
        <v>4.4792176039119802</v>
      </c>
    </row>
    <row r="53" spans="1:25" s="6" customFormat="1" x14ac:dyDescent="0.2">
      <c r="A53" s="6" t="s">
        <v>3</v>
      </c>
      <c r="B53" s="6">
        <f t="shared" ref="B53:C53" si="73">+B48/B41</f>
        <v>0.33578360268033114</v>
      </c>
      <c r="C53" s="6">
        <f t="shared" si="73"/>
        <v>0.42489280760848025</v>
      </c>
      <c r="D53" s="6">
        <f t="shared" ref="D53:E53" si="74">+D48/D41</f>
        <v>0.34703410371337562</v>
      </c>
      <c r="E53" s="6">
        <f t="shared" si="74"/>
        <v>0.30474738415545588</v>
      </c>
      <c r="F53" s="6">
        <f t="shared" ref="F53:G53" si="75">+F48/F41</f>
        <v>0.20897618541356577</v>
      </c>
      <c r="G53" s="6">
        <f t="shared" si="75"/>
        <v>6.9095786151847041E-2</v>
      </c>
      <c r="H53" s="6">
        <f t="shared" ref="H53:I53" si="76">+H48/H41</f>
        <v>2.9679229823842683E-2</v>
      </c>
      <c r="I53" s="6">
        <f t="shared" si="76"/>
        <v>-3.0029469548133532E-3</v>
      </c>
      <c r="J53" s="6">
        <f t="shared" ref="J53:O53" si="77">+J48/J41</f>
        <v>-1.5745281018027562E-2</v>
      </c>
      <c r="K53" s="6">
        <f t="shared" si="77"/>
        <v>4.8125543006081756E-3</v>
      </c>
      <c r="L53" s="6">
        <f t="shared" si="77"/>
        <v>5.1768119068162227E-2</v>
      </c>
      <c r="M53" s="6">
        <f t="shared" si="77"/>
        <v>4.0922634454989941E-2</v>
      </c>
      <c r="N53" s="6">
        <f t="shared" si="77"/>
        <v>0.13680739116818041</v>
      </c>
      <c r="O53" s="6">
        <f t="shared" si="77"/>
        <v>2.362005605730302E-2</v>
      </c>
      <c r="P53" s="79" t="s">
        <v>83</v>
      </c>
      <c r="Q53" s="79" t="s">
        <v>83</v>
      </c>
      <c r="R53" s="6">
        <f>+R48/R41</f>
        <v>0.13855335651243647</v>
      </c>
    </row>
    <row r="54" spans="1:25" s="6" customFormat="1" x14ac:dyDescent="0.2">
      <c r="A54" s="8" t="s">
        <v>2</v>
      </c>
      <c r="B54" s="9">
        <v>8</v>
      </c>
      <c r="C54" s="9">
        <v>8</v>
      </c>
      <c r="D54" s="9">
        <v>8</v>
      </c>
      <c r="E54" s="9">
        <v>8</v>
      </c>
      <c r="F54" s="9">
        <v>8</v>
      </c>
      <c r="G54" s="9">
        <v>8</v>
      </c>
      <c r="H54" s="9">
        <v>8</v>
      </c>
      <c r="I54" s="9">
        <v>8</v>
      </c>
      <c r="J54" s="9">
        <v>8</v>
      </c>
      <c r="K54" s="9">
        <v>8</v>
      </c>
      <c r="L54" s="9">
        <v>8</v>
      </c>
      <c r="M54" s="9">
        <v>8</v>
      </c>
      <c r="N54" s="9">
        <v>8</v>
      </c>
      <c r="O54" s="9">
        <v>8</v>
      </c>
      <c r="P54" s="9">
        <v>8</v>
      </c>
      <c r="Q54" s="9">
        <v>8</v>
      </c>
      <c r="R54" s="9">
        <v>8</v>
      </c>
      <c r="S54" s="9"/>
      <c r="T54" s="9"/>
      <c r="U54" s="9"/>
      <c r="V54" s="9"/>
      <c r="W54" s="8"/>
      <c r="X54" s="8"/>
      <c r="Y54" s="8"/>
    </row>
    <row r="55" spans="1:25" s="6" customFormat="1" x14ac:dyDescent="0.2">
      <c r="A55" s="6" t="s">
        <v>1</v>
      </c>
      <c r="B55" s="7" t="str">
        <f t="shared" ref="B55" si="78">IF(B42=0,IF(B54="","","*"&amp;TEXT(B54,"0.0x")),(B41+B42-B44)/B47)</f>
        <v>*8.0x</v>
      </c>
      <c r="C55" s="7" t="str">
        <f t="shared" ref="C55:D55" si="79">IF(C42=0,IF(C54="","","*"&amp;TEXT(C54,"0.0x")),(C41+C42-C44)/C47)</f>
        <v>*8.0x</v>
      </c>
      <c r="D55" s="7" t="str">
        <f t="shared" si="79"/>
        <v>*8.0x</v>
      </c>
      <c r="E55" s="7" t="str">
        <f t="shared" ref="E55:F55" si="80">IF(E42=0,IF(E54="","","*"&amp;TEXT(E54,"0.0x")),(E41+E42-E44)/E47)</f>
        <v>*8.0x</v>
      </c>
      <c r="F55" s="7" t="str">
        <f t="shared" si="80"/>
        <v>*8.0x</v>
      </c>
      <c r="G55" s="7" t="str">
        <f t="shared" ref="G55:H55" si="81">IF(G42=0,IF(G54="","","*"&amp;TEXT(G54,"0.0x")),(G41+G42-G44)/G47)</f>
        <v>*8.0x</v>
      </c>
      <c r="H55" s="7" t="str">
        <f t="shared" si="81"/>
        <v>*8.0x</v>
      </c>
      <c r="I55" s="7" t="str">
        <f t="shared" ref="I55:J55" si="82">IF(I42=0,IF(I54="","","*"&amp;TEXT(I54,"0.0x")),(I41+I42-I44)/I47)</f>
        <v>*8.0x</v>
      </c>
      <c r="J55" s="7" t="str">
        <f t="shared" si="82"/>
        <v>*8.0x</v>
      </c>
      <c r="K55" s="7" t="str">
        <f t="shared" ref="K55:L55" si="83">IF(K42=0,IF(K54="","","*"&amp;TEXT(K54,"0.0x")),(K41+K42-K44)/K47)</f>
        <v>*8.0x</v>
      </c>
      <c r="L55" s="7" t="str">
        <f t="shared" si="83"/>
        <v>*8.0x</v>
      </c>
      <c r="M55" s="7" t="str">
        <f t="shared" ref="M55:R55" si="84">IF(M42=0,IF(M54="","","*"&amp;TEXT(M54,"0.0x")),(M41+M42-M44)/M47)</f>
        <v>*8.0x</v>
      </c>
      <c r="N55" s="7" t="str">
        <f t="shared" si="84"/>
        <v>*8.0x</v>
      </c>
      <c r="O55" s="7" t="str">
        <f t="shared" si="84"/>
        <v>*8.0x</v>
      </c>
      <c r="P55" s="7" t="str">
        <f t="shared" si="84"/>
        <v>*8.0x</v>
      </c>
      <c r="Q55" s="7" t="str">
        <f t="shared" si="84"/>
        <v>*8.0x</v>
      </c>
      <c r="R55" s="7" t="str">
        <f t="shared" si="84"/>
        <v>*8.0x</v>
      </c>
      <c r="S55" s="7"/>
      <c r="T55" s="7"/>
      <c r="U55" s="7"/>
      <c r="V55" s="7"/>
      <c r="W55" s="7" t="str">
        <f>IF(W42=0,IF(W54="","",CONCATENATE("* ",W54,"x")),(W41+W42-W44)/W47)</f>
        <v/>
      </c>
      <c r="X55" s="7" t="str">
        <f>IF(X42=0,IF(X54="","",CONCATENATE("* ",X54,"x")),(X41+X42-X44)/X47)</f>
        <v/>
      </c>
      <c r="Y55" s="7" t="str">
        <f>IF(Y42=0,IF(Y54="","",CONCATENATE("* ",Y54,"x")),(Y41+Y42-Y44)/Y47)</f>
        <v/>
      </c>
    </row>
    <row r="56" spans="1:25" x14ac:dyDescent="0.2">
      <c r="V56" s="3"/>
    </row>
    <row r="57" spans="1:25" ht="80.25" customHeight="1" x14ac:dyDescent="0.2">
      <c r="A57" s="5" t="s">
        <v>0</v>
      </c>
      <c r="B57" s="4" t="s">
        <v>629</v>
      </c>
      <c r="C57" s="4" t="s">
        <v>629</v>
      </c>
      <c r="D57" s="4" t="s">
        <v>629</v>
      </c>
      <c r="E57" s="4" t="s">
        <v>493</v>
      </c>
      <c r="F57" s="4" t="s">
        <v>493</v>
      </c>
      <c r="G57" s="4" t="s">
        <v>493</v>
      </c>
      <c r="H57" s="4" t="s">
        <v>493</v>
      </c>
      <c r="I57" s="4" t="s">
        <v>354</v>
      </c>
      <c r="J57" s="4" t="s">
        <v>354</v>
      </c>
      <c r="K57" s="4" t="s">
        <v>354</v>
      </c>
      <c r="L57" s="4" t="s">
        <v>339</v>
      </c>
      <c r="M57" s="4"/>
      <c r="N57" s="4"/>
      <c r="O57" s="4"/>
      <c r="P57" s="4"/>
      <c r="Q57" s="4"/>
      <c r="R57" s="4" t="s">
        <v>159</v>
      </c>
      <c r="S57" s="4"/>
      <c r="T57" s="4"/>
      <c r="U57" s="4"/>
      <c r="V57" s="4"/>
      <c r="W57" s="4"/>
      <c r="X57" s="4"/>
      <c r="Y57" s="4"/>
    </row>
    <row r="58" spans="1:25" x14ac:dyDescent="0.2">
      <c r="A58" s="2"/>
      <c r="B58" s="3"/>
      <c r="C58" s="3"/>
      <c r="D58" s="3"/>
      <c r="E58" s="3"/>
      <c r="F58" s="3"/>
      <c r="G58" s="3"/>
      <c r="H58" s="3"/>
      <c r="I58" s="3"/>
      <c r="J58" s="3"/>
      <c r="K58" s="3"/>
      <c r="L58" s="3"/>
      <c r="M58" s="3"/>
      <c r="N58" s="3"/>
      <c r="O58" s="3"/>
      <c r="P58" s="3"/>
      <c r="Q58" s="3"/>
      <c r="R58" s="3"/>
    </row>
    <row r="59" spans="1:25" x14ac:dyDescent="0.2">
      <c r="A59" s="2"/>
    </row>
  </sheetData>
  <pageMargins left="0.7" right="0.7" top="0.75" bottom="0.75" header="0.3" footer="0.3"/>
  <pageSetup orientation="portrait" r:id="rId1"/>
  <ignoredErrors>
    <ignoredError sqref="I46:W52 H46 G47:H55 G46 E46:F46" formulaRange="1"/>
  </ignoredErrors>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2:AA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8" width="10.7109375" style="1" customWidth="1"/>
    <col min="19" max="16384" width="9.140625" style="1"/>
  </cols>
  <sheetData>
    <row r="2" spans="1:27" x14ac:dyDescent="0.2">
      <c r="A2" s="34" t="s">
        <v>45</v>
      </c>
      <c r="B2" s="1" t="s">
        <v>407</v>
      </c>
    </row>
    <row r="3" spans="1:27" s="35" customFormat="1" x14ac:dyDescent="0.2">
      <c r="A3" s="36" t="s">
        <v>43</v>
      </c>
      <c r="B3" s="35" t="s">
        <v>395</v>
      </c>
    </row>
    <row r="4" spans="1:27" x14ac:dyDescent="0.2">
      <c r="A4" s="34" t="s">
        <v>41</v>
      </c>
      <c r="B4" s="1" t="s">
        <v>40</v>
      </c>
    </row>
    <row r="5" spans="1:27" x14ac:dyDescent="0.2">
      <c r="A5" s="34" t="s">
        <v>39</v>
      </c>
    </row>
    <row r="6" spans="1:27" x14ac:dyDescent="0.2">
      <c r="A6" s="34" t="s">
        <v>38</v>
      </c>
      <c r="B6" s="1">
        <v>3</v>
      </c>
    </row>
    <row r="7" spans="1:27" x14ac:dyDescent="0.2">
      <c r="A7" s="34" t="s">
        <v>37</v>
      </c>
      <c r="B7" s="1" t="s">
        <v>394</v>
      </c>
    </row>
    <row r="8" spans="1:27" x14ac:dyDescent="0.2">
      <c r="A8" s="34" t="s">
        <v>281</v>
      </c>
      <c r="B8" s="1" t="s">
        <v>393</v>
      </c>
    </row>
    <row r="9" spans="1:27" x14ac:dyDescent="0.2">
      <c r="A9" s="22"/>
    </row>
    <row r="10" spans="1:27"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43283</v>
      </c>
      <c r="N10" s="33">
        <v>43192</v>
      </c>
      <c r="O10" s="33">
        <v>43100</v>
      </c>
      <c r="P10" s="33">
        <v>43008</v>
      </c>
      <c r="Q10" s="33">
        <v>43649</v>
      </c>
      <c r="R10" s="33">
        <v>43558</v>
      </c>
    </row>
    <row r="12" spans="1:27" x14ac:dyDescent="0.2">
      <c r="A12" s="15" t="s">
        <v>35</v>
      </c>
      <c r="B12" s="19">
        <v>647.00399999999991</v>
      </c>
      <c r="C12" s="19">
        <v>636.70000000000005</v>
      </c>
      <c r="D12" s="19">
        <v>629.97800000000007</v>
      </c>
      <c r="E12" s="19">
        <v>598.58999999999992</v>
      </c>
      <c r="F12" s="19">
        <v>567.52100000000007</v>
      </c>
      <c r="G12" s="19">
        <v>570.1</v>
      </c>
      <c r="H12" s="19">
        <v>573.1</v>
      </c>
      <c r="I12" s="19">
        <v>588.19999999999993</v>
      </c>
      <c r="J12" s="19">
        <v>555.05200000000002</v>
      </c>
      <c r="K12" s="19">
        <v>544.68700000000013</v>
      </c>
      <c r="L12" s="19">
        <v>539</v>
      </c>
      <c r="M12" s="19">
        <v>551.62</v>
      </c>
      <c r="N12" s="19">
        <v>532.73800000000006</v>
      </c>
      <c r="O12" s="19">
        <v>516.05100000000016</v>
      </c>
      <c r="P12" s="19">
        <v>503.24099999999999</v>
      </c>
      <c r="Q12" s="19">
        <v>507.26100000000002</v>
      </c>
      <c r="R12" s="19">
        <v>490.64300000000003</v>
      </c>
    </row>
    <row r="13" spans="1:27" s="28" customFormat="1" x14ac:dyDescent="0.2">
      <c r="A13" s="28" t="s">
        <v>34</v>
      </c>
      <c r="B13" s="28">
        <f t="shared" ref="B13:J13" si="0">+B12/F12-1</f>
        <v>0.14005296720297533</v>
      </c>
      <c r="C13" s="28">
        <f t="shared" si="0"/>
        <v>0.11682161024381688</v>
      </c>
      <c r="D13" s="28">
        <f t="shared" si="0"/>
        <v>9.924620485081137E-2</v>
      </c>
      <c r="E13" s="28">
        <f t="shared" si="0"/>
        <v>1.7664059843590652E-2</v>
      </c>
      <c r="F13" s="28">
        <f t="shared" si="0"/>
        <v>2.2464561878887013E-2</v>
      </c>
      <c r="G13" s="28">
        <f t="shared" si="0"/>
        <v>4.6656152983272747E-2</v>
      </c>
      <c r="H13" s="28">
        <f t="shared" si="0"/>
        <v>6.3265306122449072E-2</v>
      </c>
      <c r="I13" s="28">
        <f t="shared" si="0"/>
        <v>6.6313766723469003E-2</v>
      </c>
      <c r="J13" s="28">
        <f t="shared" si="0"/>
        <v>4.1885504694615383E-2</v>
      </c>
      <c r="K13" s="28">
        <f t="shared" ref="K13:L13" si="1">+K12/O12-1</f>
        <v>5.5490639491057925E-2</v>
      </c>
      <c r="L13" s="28">
        <f t="shared" si="1"/>
        <v>7.1057405894988657E-2</v>
      </c>
      <c r="M13" s="28">
        <f>+M12/Q12-1</f>
        <v>8.7448078996808398E-2</v>
      </c>
      <c r="N13" s="28">
        <f>+N12/R12-1</f>
        <v>8.5795578455210908E-2</v>
      </c>
      <c r="S13" s="1"/>
      <c r="T13" s="1"/>
      <c r="U13" s="1"/>
      <c r="V13" s="1"/>
      <c r="W13" s="1"/>
      <c r="X13" s="1"/>
      <c r="Y13" s="1"/>
      <c r="Z13" s="1"/>
      <c r="AA13" s="1"/>
    </row>
    <row r="14" spans="1:27"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1"/>
      <c r="P14" s="31"/>
      <c r="Q14" s="31"/>
      <c r="R14" s="31"/>
      <c r="S14" s="1"/>
      <c r="T14" s="1"/>
      <c r="U14" s="1"/>
      <c r="V14" s="1"/>
      <c r="W14" s="1"/>
      <c r="X14" s="1"/>
      <c r="Y14" s="1"/>
      <c r="Z14" s="1"/>
      <c r="AA14" s="1"/>
    </row>
    <row r="15" spans="1:27" x14ac:dyDescent="0.2">
      <c r="S15" s="28"/>
      <c r="T15" s="28"/>
      <c r="U15" s="28"/>
      <c r="V15" s="28"/>
      <c r="W15" s="28"/>
      <c r="X15" s="28"/>
      <c r="Y15" s="28"/>
      <c r="Z15" s="28"/>
      <c r="AA15" s="28"/>
    </row>
    <row r="16" spans="1:27" s="22" customFormat="1" x14ac:dyDescent="0.2">
      <c r="A16" s="30" t="s">
        <v>31</v>
      </c>
      <c r="B16" s="29">
        <v>106.5</v>
      </c>
      <c r="C16" s="29">
        <v>95</v>
      </c>
      <c r="D16" s="29">
        <v>98.8</v>
      </c>
      <c r="E16" s="29">
        <v>87.9</v>
      </c>
      <c r="F16" s="29">
        <v>67.799999999999983</v>
      </c>
      <c r="G16" s="29">
        <v>69.8</v>
      </c>
      <c r="H16" s="29">
        <v>66.400000000000006</v>
      </c>
      <c r="I16" s="29">
        <v>79.199999999999989</v>
      </c>
      <c r="J16" s="29">
        <v>73.800000000000011</v>
      </c>
      <c r="K16" s="29">
        <v>84.562000000000083</v>
      </c>
      <c r="L16" s="29">
        <v>72.3</v>
      </c>
      <c r="M16" s="29">
        <v>84.859000000000052</v>
      </c>
      <c r="N16" s="29">
        <v>87.594000000000023</v>
      </c>
      <c r="O16" s="29">
        <v>87.131000000000185</v>
      </c>
      <c r="P16" s="29">
        <v>76.029999999999987</v>
      </c>
      <c r="Q16" s="29">
        <v>85.443000000000055</v>
      </c>
      <c r="R16" s="29">
        <v>89.038000000000011</v>
      </c>
      <c r="S16" s="23"/>
      <c r="T16" s="23"/>
      <c r="U16" s="23"/>
      <c r="V16" s="23"/>
      <c r="W16" s="23"/>
      <c r="X16" s="23"/>
      <c r="Y16" s="23"/>
      <c r="Z16" s="23"/>
      <c r="AA16" s="23"/>
    </row>
    <row r="17" spans="1:27" s="28" customFormat="1" x14ac:dyDescent="0.2">
      <c r="A17" s="28" t="s">
        <v>30</v>
      </c>
      <c r="B17" s="28">
        <f t="shared" ref="B17" si="2">+B16/B12</f>
        <v>0.16460485561140273</v>
      </c>
      <c r="C17" s="28">
        <f t="shared" ref="C17:J17" si="3">+C16/C12</f>
        <v>0.14920684780901522</v>
      </c>
      <c r="D17" s="28">
        <f t="shared" si="3"/>
        <v>0.15683087345907315</v>
      </c>
      <c r="E17" s="28">
        <f t="shared" si="3"/>
        <v>0.1468450859519872</v>
      </c>
      <c r="F17" s="28">
        <f t="shared" si="3"/>
        <v>0.11946694483552146</v>
      </c>
      <c r="G17" s="28">
        <f t="shared" si="3"/>
        <v>0.12243466058586212</v>
      </c>
      <c r="H17" s="28">
        <f t="shared" si="3"/>
        <v>0.11586110626417728</v>
      </c>
      <c r="I17" s="28">
        <f t="shared" si="3"/>
        <v>0.13464807888473307</v>
      </c>
      <c r="J17" s="28">
        <f t="shared" si="3"/>
        <v>0.13296051541116871</v>
      </c>
      <c r="K17" s="28">
        <f t="shared" ref="K17:Q17" si="4">+K16/K12</f>
        <v>0.15524879426165863</v>
      </c>
      <c r="L17" s="28">
        <f t="shared" si="4"/>
        <v>0.13413729128014842</v>
      </c>
      <c r="M17" s="28">
        <f t="shared" si="4"/>
        <v>0.15383597404010016</v>
      </c>
      <c r="N17" s="28">
        <f t="shared" si="4"/>
        <v>0.16442228637716855</v>
      </c>
      <c r="O17" s="28">
        <f t="shared" si="4"/>
        <v>0.16884183927557578</v>
      </c>
      <c r="P17" s="28">
        <f t="shared" si="4"/>
        <v>0.15108069493542853</v>
      </c>
      <c r="Q17" s="28">
        <f t="shared" si="4"/>
        <v>0.16843991554643478</v>
      </c>
      <c r="R17" s="28">
        <f t="shared" ref="R17" si="5">+R16/R12</f>
        <v>0.1814720682859024</v>
      </c>
      <c r="S17" s="1"/>
      <c r="T17" s="1"/>
      <c r="U17" s="1"/>
      <c r="V17" s="1"/>
      <c r="W17" s="1"/>
      <c r="X17" s="1"/>
      <c r="Y17" s="1"/>
      <c r="Z17" s="1"/>
      <c r="AA17" s="1"/>
    </row>
    <row r="18" spans="1:27" s="23" customFormat="1" x14ac:dyDescent="0.2">
      <c r="S18" s="22"/>
      <c r="T18" s="22"/>
      <c r="U18" s="22"/>
      <c r="V18" s="22"/>
      <c r="W18" s="22"/>
      <c r="X18" s="22"/>
      <c r="Y18" s="22"/>
      <c r="Z18" s="22"/>
      <c r="AA18" s="22"/>
    </row>
    <row r="19" spans="1:27"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28"/>
      <c r="T19" s="28"/>
      <c r="U19" s="28"/>
      <c r="V19" s="28"/>
      <c r="W19" s="28"/>
      <c r="X19" s="28"/>
      <c r="Y19" s="28"/>
      <c r="Z19" s="28"/>
      <c r="AA19" s="28"/>
    </row>
    <row r="20" spans="1:27"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row>
    <row r="21" spans="1:27"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row>
    <row r="22" spans="1:27" s="22" customFormat="1" x14ac:dyDescent="0.2">
      <c r="A22" s="22" t="s">
        <v>23</v>
      </c>
      <c r="B22" s="20">
        <f t="shared" ref="B22" si="6">SUM(B16,B19:B21)</f>
        <v>106.5</v>
      </c>
      <c r="C22" s="20">
        <f t="shared" ref="C22:J22" si="7">SUM(C16,C19:C21)</f>
        <v>95</v>
      </c>
      <c r="D22" s="20">
        <f t="shared" si="7"/>
        <v>98.8</v>
      </c>
      <c r="E22" s="20">
        <f t="shared" si="7"/>
        <v>87.9</v>
      </c>
      <c r="F22" s="20">
        <f t="shared" si="7"/>
        <v>67.799999999999983</v>
      </c>
      <c r="G22" s="20">
        <f t="shared" si="7"/>
        <v>69.8</v>
      </c>
      <c r="H22" s="20">
        <f t="shared" si="7"/>
        <v>66.400000000000006</v>
      </c>
      <c r="I22" s="20">
        <f t="shared" si="7"/>
        <v>79.199999999999989</v>
      </c>
      <c r="J22" s="20">
        <f t="shared" si="7"/>
        <v>73.800000000000011</v>
      </c>
      <c r="K22" s="20">
        <f t="shared" ref="K22:Q22" si="8">SUM(K16,K19:K21)</f>
        <v>84.562000000000083</v>
      </c>
      <c r="L22" s="20">
        <f t="shared" si="8"/>
        <v>72.3</v>
      </c>
      <c r="M22" s="20">
        <f t="shared" si="8"/>
        <v>84.859000000000052</v>
      </c>
      <c r="N22" s="20">
        <f t="shared" si="8"/>
        <v>87.594000000000023</v>
      </c>
      <c r="O22" s="20">
        <f t="shared" si="8"/>
        <v>87.131000000000185</v>
      </c>
      <c r="P22" s="20">
        <f t="shared" si="8"/>
        <v>76.029999999999987</v>
      </c>
      <c r="Q22" s="20">
        <f t="shared" si="8"/>
        <v>85.443000000000055</v>
      </c>
      <c r="R22" s="20">
        <f t="shared" ref="R22" si="9">SUM(R16,R19:R21)</f>
        <v>89.038000000000011</v>
      </c>
      <c r="S22" s="23"/>
      <c r="T22" s="23"/>
      <c r="U22" s="23"/>
      <c r="V22" s="23"/>
      <c r="W22" s="23"/>
      <c r="X22" s="23"/>
      <c r="Y22" s="23"/>
      <c r="Z22" s="23"/>
      <c r="AA22" s="23"/>
    </row>
    <row r="23" spans="1:27" s="22" customFormat="1" x14ac:dyDescent="0.2">
      <c r="B23" s="20"/>
      <c r="C23" s="20"/>
      <c r="D23" s="20"/>
      <c r="E23" s="20"/>
      <c r="F23" s="20"/>
      <c r="G23" s="20"/>
      <c r="H23" s="20"/>
      <c r="I23" s="20"/>
      <c r="J23" s="20"/>
      <c r="K23" s="20"/>
      <c r="L23" s="20"/>
      <c r="M23" s="20"/>
      <c r="N23" s="20"/>
      <c r="O23" s="20"/>
      <c r="P23" s="20"/>
      <c r="Q23" s="20"/>
      <c r="R23" s="20"/>
      <c r="S23" s="23"/>
      <c r="T23" s="23"/>
      <c r="U23" s="23"/>
      <c r="V23" s="23"/>
      <c r="W23" s="23"/>
      <c r="X23" s="23"/>
      <c r="Y23" s="23"/>
      <c r="Z23" s="23"/>
      <c r="AA23" s="23"/>
    </row>
    <row r="24" spans="1:27" s="22" customFormat="1" x14ac:dyDescent="0.2">
      <c r="A24" s="22" t="s">
        <v>27</v>
      </c>
      <c r="B24" s="61">
        <v>387.39800000000014</v>
      </c>
      <c r="C24" s="61">
        <v>349.6</v>
      </c>
      <c r="D24" s="61">
        <v>334.4</v>
      </c>
      <c r="E24" s="61">
        <v>302</v>
      </c>
      <c r="F24" s="61">
        <f>(F22+H22)/2*4</f>
        <v>268.39999999999998</v>
      </c>
      <c r="G24" s="20"/>
      <c r="H24" s="20">
        <f>I24+H22-L22</f>
        <v>286.09999999999997</v>
      </c>
      <c r="I24" s="61">
        <v>292</v>
      </c>
      <c r="J24" s="20">
        <f>SUM(J22:M22)</f>
        <v>315.52100000000013</v>
      </c>
      <c r="K24" s="20">
        <f t="shared" ref="K24:M24" si="10">SUM(K22:N22)</f>
        <v>329.31500000000017</v>
      </c>
      <c r="L24" s="20">
        <f t="shared" si="10"/>
        <v>331.88400000000024</v>
      </c>
      <c r="M24" s="20">
        <f t="shared" si="10"/>
        <v>335.61400000000026</v>
      </c>
      <c r="N24" s="20">
        <f>SUM(N22:Q22)</f>
        <v>336.19800000000021</v>
      </c>
      <c r="O24" s="20">
        <f>SUM(O22:R22)</f>
        <v>337.64200000000022</v>
      </c>
      <c r="P24" s="20"/>
      <c r="Q24" s="20"/>
      <c r="R24" s="20"/>
    </row>
    <row r="25" spans="1:27" s="23" customFormat="1" x14ac:dyDescent="0.2">
      <c r="A25" s="15" t="s">
        <v>26</v>
      </c>
      <c r="B25" s="27">
        <v>0</v>
      </c>
      <c r="C25" s="27">
        <v>0</v>
      </c>
      <c r="D25" s="27">
        <v>0</v>
      </c>
      <c r="E25" s="27">
        <v>0</v>
      </c>
      <c r="F25" s="27">
        <f>H25</f>
        <v>7.9000000000000341</v>
      </c>
      <c r="G25" s="27"/>
      <c r="H25" s="27">
        <f>294-H24</f>
        <v>7.9000000000000341</v>
      </c>
      <c r="I25" s="27">
        <v>0</v>
      </c>
      <c r="J25" s="27">
        <v>0</v>
      </c>
      <c r="K25" s="27">
        <v>0</v>
      </c>
      <c r="L25" s="27">
        <v>0</v>
      </c>
      <c r="M25" s="27">
        <v>0</v>
      </c>
      <c r="N25" s="27">
        <v>0</v>
      </c>
      <c r="O25" s="27">
        <v>0</v>
      </c>
      <c r="P25" s="27"/>
      <c r="Q25" s="27"/>
      <c r="R25" s="27"/>
      <c r="S25" s="22"/>
      <c r="T25" s="22"/>
      <c r="U25" s="22"/>
      <c r="V25" s="22"/>
      <c r="W25" s="22"/>
      <c r="X25" s="22"/>
      <c r="Y25" s="22"/>
      <c r="Z25" s="22"/>
      <c r="AA25" s="22"/>
    </row>
    <row r="26" spans="1:27" s="23" customFormat="1" x14ac:dyDescent="0.2">
      <c r="A26" s="15" t="s">
        <v>25</v>
      </c>
      <c r="B26" s="21">
        <v>0</v>
      </c>
      <c r="C26" s="21">
        <v>0</v>
      </c>
      <c r="D26" s="21">
        <v>0</v>
      </c>
      <c r="E26" s="21">
        <v>0</v>
      </c>
      <c r="F26" s="21">
        <v>0</v>
      </c>
      <c r="G26" s="21"/>
      <c r="H26" s="21">
        <v>0</v>
      </c>
      <c r="I26" s="21">
        <v>0</v>
      </c>
      <c r="J26" s="21">
        <v>0</v>
      </c>
      <c r="K26" s="21">
        <v>0</v>
      </c>
      <c r="L26" s="21">
        <v>0</v>
      </c>
      <c r="M26" s="21">
        <v>0</v>
      </c>
      <c r="N26" s="21">
        <v>0</v>
      </c>
      <c r="O26" s="21">
        <v>0</v>
      </c>
      <c r="P26" s="26"/>
      <c r="Q26" s="26"/>
      <c r="R26" s="26"/>
      <c r="S26" s="22"/>
      <c r="T26" s="22"/>
      <c r="U26" s="22"/>
      <c r="V26" s="22"/>
      <c r="W26" s="22"/>
      <c r="X26" s="22"/>
      <c r="Y26" s="22"/>
      <c r="Z26" s="22"/>
      <c r="AA26" s="22"/>
    </row>
    <row r="27" spans="1:27" s="24" customFormat="1" x14ac:dyDescent="0.2">
      <c r="A27" s="22" t="s">
        <v>24</v>
      </c>
      <c r="B27" s="20">
        <f>SUM(B24:B26)</f>
        <v>387.39800000000014</v>
      </c>
      <c r="C27" s="20">
        <f>SUM(C24:C26)</f>
        <v>349.6</v>
      </c>
      <c r="D27" s="20">
        <f>SUM(D24:D26)</f>
        <v>334.4</v>
      </c>
      <c r="E27" s="20">
        <f>SUM(E24:E26)</f>
        <v>302</v>
      </c>
      <c r="F27" s="20">
        <f>SUM(F24:F26)</f>
        <v>276.3</v>
      </c>
      <c r="G27" s="20"/>
      <c r="H27" s="20">
        <f>SUM(H24:H26)</f>
        <v>294</v>
      </c>
      <c r="I27" s="20">
        <f>SUM(I24:I26)</f>
        <v>292</v>
      </c>
      <c r="J27" s="20">
        <f>SUM(J24:J26)</f>
        <v>315.52100000000013</v>
      </c>
      <c r="K27" s="20">
        <f t="shared" ref="K27:N27" si="11">SUM(K24:K26)</f>
        <v>329.31500000000017</v>
      </c>
      <c r="L27" s="20">
        <f t="shared" si="11"/>
        <v>331.88400000000024</v>
      </c>
      <c r="M27" s="20">
        <f t="shared" si="11"/>
        <v>335.61400000000026</v>
      </c>
      <c r="N27" s="20">
        <f t="shared" si="11"/>
        <v>336.19800000000021</v>
      </c>
      <c r="O27" s="20">
        <f t="shared" ref="O27" si="12">SUM(O24:O26)</f>
        <v>337.64200000000022</v>
      </c>
      <c r="P27" s="25"/>
      <c r="Q27" s="25"/>
      <c r="R27" s="25"/>
      <c r="S27" s="23"/>
      <c r="T27" s="23"/>
      <c r="U27" s="23"/>
      <c r="V27" s="23"/>
      <c r="W27" s="23"/>
      <c r="X27" s="23"/>
      <c r="Y27" s="23"/>
      <c r="Z27" s="23"/>
      <c r="AA27" s="23"/>
    </row>
    <row r="28" spans="1:27" s="23" customFormat="1" x14ac:dyDescent="0.2"/>
    <row r="29" spans="1:27" s="22" customFormat="1" x14ac:dyDescent="0.2">
      <c r="A29" s="22" t="s">
        <v>23</v>
      </c>
      <c r="B29" s="20">
        <f t="shared" ref="B29" si="13">B22</f>
        <v>106.5</v>
      </c>
      <c r="C29" s="20">
        <f t="shared" ref="C29:D29" si="14">C22</f>
        <v>95</v>
      </c>
      <c r="D29" s="20">
        <f t="shared" si="14"/>
        <v>98.8</v>
      </c>
      <c r="E29" s="20">
        <f t="shared" ref="E29:Q29" si="15">E22</f>
        <v>87.9</v>
      </c>
      <c r="F29" s="20">
        <f t="shared" si="15"/>
        <v>67.799999999999983</v>
      </c>
      <c r="G29" s="20"/>
      <c r="H29" s="20">
        <f t="shared" si="15"/>
        <v>66.400000000000006</v>
      </c>
      <c r="I29" s="20">
        <f t="shared" si="15"/>
        <v>79.199999999999989</v>
      </c>
      <c r="J29" s="20">
        <f t="shared" si="15"/>
        <v>73.800000000000011</v>
      </c>
      <c r="K29" s="20">
        <f t="shared" si="15"/>
        <v>84.562000000000083</v>
      </c>
      <c r="L29" s="20">
        <f t="shared" si="15"/>
        <v>72.3</v>
      </c>
      <c r="M29" s="20">
        <f t="shared" si="15"/>
        <v>84.859000000000052</v>
      </c>
      <c r="N29" s="20">
        <f t="shared" si="15"/>
        <v>87.594000000000023</v>
      </c>
      <c r="O29" s="20">
        <f t="shared" si="15"/>
        <v>87.131000000000185</v>
      </c>
      <c r="P29" s="20">
        <f t="shared" si="15"/>
        <v>76.029999999999987</v>
      </c>
      <c r="Q29" s="20">
        <f t="shared" si="15"/>
        <v>85.443000000000055</v>
      </c>
      <c r="R29" s="20">
        <f t="shared" ref="R29" si="16">R22</f>
        <v>89.038000000000011</v>
      </c>
      <c r="S29" s="24"/>
      <c r="T29" s="24"/>
      <c r="U29" s="24"/>
      <c r="V29" s="24"/>
      <c r="W29" s="24"/>
      <c r="X29" s="24"/>
      <c r="Y29" s="24"/>
      <c r="Z29" s="24"/>
      <c r="AA29" s="24"/>
    </row>
    <row r="30" spans="1:27" s="11" customFormat="1" x14ac:dyDescent="0.2">
      <c r="A30" s="19" t="s">
        <v>22</v>
      </c>
      <c r="B30" s="19">
        <v>-18.338999999999999</v>
      </c>
      <c r="C30" s="19">
        <v>-19.451999999999998</v>
      </c>
      <c r="D30" s="19">
        <v>-20.032</v>
      </c>
      <c r="E30" s="19">
        <v>-20.213000000000001</v>
      </c>
      <c r="F30" s="19">
        <v>-25.47</v>
      </c>
      <c r="G30" s="19"/>
      <c r="H30" s="19"/>
      <c r="I30" s="19"/>
      <c r="J30" s="19">
        <v>-1.8420000000000001</v>
      </c>
      <c r="K30" s="19">
        <v>-3.2570000000000001</v>
      </c>
      <c r="L30" s="19">
        <v>-1.7050000000000001</v>
      </c>
      <c r="M30" s="19">
        <v>-4.0000000000000001E-3</v>
      </c>
      <c r="N30" s="19">
        <v>-0.54500000000000004</v>
      </c>
      <c r="O30" s="19">
        <v>-0.59400000000000031</v>
      </c>
      <c r="P30" s="19">
        <v>-0.64400000000000002</v>
      </c>
      <c r="Q30" s="19">
        <v>-0.63600000000000001</v>
      </c>
      <c r="R30" s="19">
        <v>-0.71299999999999997</v>
      </c>
      <c r="S30" s="23"/>
      <c r="T30" s="23"/>
      <c r="U30" s="23"/>
      <c r="V30" s="23"/>
      <c r="W30" s="23"/>
      <c r="X30" s="23"/>
      <c r="Y30" s="23"/>
      <c r="Z30" s="23"/>
      <c r="AA30" s="23"/>
    </row>
    <row r="31" spans="1:27" s="11" customFormat="1" x14ac:dyDescent="0.2">
      <c r="A31" s="19" t="s">
        <v>21</v>
      </c>
      <c r="B31" s="19">
        <v>-0.51300000000000001</v>
      </c>
      <c r="C31" s="19">
        <v>0.63300000000000023</v>
      </c>
      <c r="D31" s="19">
        <v>-1.044</v>
      </c>
      <c r="E31" s="19">
        <v>-0.66300000000000003</v>
      </c>
      <c r="F31" s="19">
        <v>-0.66200000000000003</v>
      </c>
      <c r="G31" s="19"/>
      <c r="H31" s="19"/>
      <c r="I31" s="19"/>
      <c r="J31" s="19">
        <v>-0.156</v>
      </c>
      <c r="K31" s="19">
        <v>0.60000000000000009</v>
      </c>
      <c r="L31" s="19">
        <v>-8.0000000000000002E-3</v>
      </c>
      <c r="M31" s="19">
        <v>-1.768</v>
      </c>
      <c r="N31" s="19">
        <v>-0.183</v>
      </c>
      <c r="O31" s="19">
        <v>1.9000000000000128E-2</v>
      </c>
      <c r="P31" s="19">
        <v>-0.121</v>
      </c>
      <c r="Q31" s="19">
        <v>-1.917</v>
      </c>
      <c r="R31" s="19">
        <v>-0.17499999999999999</v>
      </c>
      <c r="S31" s="22"/>
      <c r="T31" s="22"/>
      <c r="U31" s="22"/>
      <c r="V31" s="22"/>
      <c r="W31" s="22"/>
      <c r="X31" s="22"/>
      <c r="Y31" s="22"/>
      <c r="Z31" s="22"/>
      <c r="AA31" s="22"/>
    </row>
    <row r="32" spans="1:27" s="11" customFormat="1" x14ac:dyDescent="0.2">
      <c r="A32" s="19" t="s">
        <v>20</v>
      </c>
      <c r="B32" s="19">
        <v>-26.634</v>
      </c>
      <c r="C32" s="19">
        <v>-8.9630000000000081</v>
      </c>
      <c r="D32" s="19">
        <v>33.020000000000003</v>
      </c>
      <c r="E32" s="19">
        <v>43.441000000000003</v>
      </c>
      <c r="F32" s="19">
        <f>-1.248-21.921+3.963+13.19+0.614-0.195</f>
        <v>-5.5970000000000004</v>
      </c>
      <c r="G32" s="19"/>
      <c r="H32" s="19"/>
      <c r="I32" s="19"/>
      <c r="J32" s="19">
        <v>-5.8689999999999989</v>
      </c>
      <c r="K32" s="19">
        <v>3.4779999999999927</v>
      </c>
      <c r="L32" s="19">
        <v>13.21</v>
      </c>
      <c r="M32" s="19">
        <v>-13.510999999999996</v>
      </c>
      <c r="N32" s="19">
        <v>4.7460000000000022</v>
      </c>
      <c r="O32" s="19">
        <v>-13.650000000000002</v>
      </c>
      <c r="P32" s="19">
        <v>18.061</v>
      </c>
      <c r="Q32" s="19">
        <v>-9.6430000000000007</v>
      </c>
      <c r="R32" s="19">
        <v>-9.5120000000000005</v>
      </c>
    </row>
    <row r="33" spans="1:27" s="11" customFormat="1" x14ac:dyDescent="0.2">
      <c r="A33" s="19" t="s">
        <v>19</v>
      </c>
      <c r="B33" s="19">
        <v>0</v>
      </c>
      <c r="C33" s="19">
        <v>0</v>
      </c>
      <c r="D33" s="19">
        <v>0</v>
      </c>
      <c r="E33" s="19">
        <v>0</v>
      </c>
      <c r="F33" s="19">
        <v>0</v>
      </c>
      <c r="G33" s="19"/>
      <c r="H33" s="19"/>
      <c r="I33" s="19"/>
      <c r="J33" s="19">
        <v>0</v>
      </c>
      <c r="K33" s="19">
        <v>0</v>
      </c>
      <c r="L33" s="19">
        <v>0</v>
      </c>
      <c r="M33" s="19">
        <v>0</v>
      </c>
      <c r="N33" s="19">
        <v>0</v>
      </c>
      <c r="O33" s="19">
        <v>0</v>
      </c>
      <c r="P33" s="19">
        <v>0</v>
      </c>
      <c r="Q33" s="19">
        <v>0</v>
      </c>
      <c r="R33" s="19">
        <v>0</v>
      </c>
    </row>
    <row r="34" spans="1:27" s="11" customFormat="1" x14ac:dyDescent="0.2">
      <c r="A34" s="19" t="s">
        <v>18</v>
      </c>
      <c r="B34" s="21">
        <v>0</v>
      </c>
      <c r="C34" s="21">
        <v>0</v>
      </c>
      <c r="D34" s="21">
        <v>0</v>
      </c>
      <c r="E34" s="21">
        <v>0</v>
      </c>
      <c r="F34" s="21">
        <v>0</v>
      </c>
      <c r="G34" s="21"/>
      <c r="H34" s="21"/>
      <c r="I34" s="21"/>
      <c r="J34" s="21">
        <f>J35-J29-J30-J31-J32-J33</f>
        <v>12.87399999999999</v>
      </c>
      <c r="K34" s="21">
        <f t="shared" ref="K34:R34" si="17">K35-K29-K30-K31-K32-K33</f>
        <v>2.8089999999998749</v>
      </c>
      <c r="L34" s="21">
        <f t="shared" si="17"/>
        <v>12.035999999999998</v>
      </c>
      <c r="M34" s="21">
        <f t="shared" si="17"/>
        <v>1.2659999999999432</v>
      </c>
      <c r="N34" s="21">
        <f t="shared" si="17"/>
        <v>-0.43300000000002292</v>
      </c>
      <c r="O34" s="21">
        <f t="shared" si="17"/>
        <v>-0.3570000000002036</v>
      </c>
      <c r="P34" s="21">
        <f t="shared" si="17"/>
        <v>-0.14899999999998315</v>
      </c>
      <c r="Q34" s="21">
        <f t="shared" si="17"/>
        <v>1.3569999999999443</v>
      </c>
      <c r="R34" s="21">
        <f t="shared" si="17"/>
        <v>-0.36400000000000965</v>
      </c>
    </row>
    <row r="35" spans="1:27" s="20" customFormat="1" x14ac:dyDescent="0.2">
      <c r="A35" s="20" t="s">
        <v>17</v>
      </c>
      <c r="B35" s="20">
        <v>57.11</v>
      </c>
      <c r="C35" s="20">
        <v>90.842000000000013</v>
      </c>
      <c r="D35" s="20">
        <v>115.13800000000001</v>
      </c>
      <c r="E35" s="20">
        <v>90.536000000000001</v>
      </c>
      <c r="F35" s="20">
        <v>43.667999999999999</v>
      </c>
      <c r="J35" s="20">
        <v>78.807000000000002</v>
      </c>
      <c r="K35" s="20">
        <v>88.19199999999995</v>
      </c>
      <c r="L35" s="20">
        <v>95.832999999999998</v>
      </c>
      <c r="M35" s="20">
        <v>70.841999999999999</v>
      </c>
      <c r="N35" s="20">
        <v>91.179000000000002</v>
      </c>
      <c r="O35" s="20">
        <v>72.548999999999978</v>
      </c>
      <c r="P35" s="20">
        <v>93.177000000000007</v>
      </c>
      <c r="Q35" s="20">
        <v>74.603999999999999</v>
      </c>
      <c r="R35" s="20">
        <v>78.274000000000001</v>
      </c>
      <c r="S35" s="11"/>
      <c r="T35" s="11"/>
      <c r="U35" s="11"/>
      <c r="V35" s="11"/>
      <c r="W35" s="11"/>
      <c r="X35" s="11"/>
      <c r="Y35" s="11"/>
      <c r="Z35" s="11"/>
      <c r="AA35" s="11"/>
    </row>
    <row r="36" spans="1:27" s="11" customFormat="1" x14ac:dyDescent="0.2">
      <c r="A36" s="19" t="s">
        <v>16</v>
      </c>
      <c r="B36" s="21">
        <v>-17.456</v>
      </c>
      <c r="C36" s="21">
        <v>-33.781000000000006</v>
      </c>
      <c r="D36" s="21">
        <v>-21.335999999999999</v>
      </c>
      <c r="E36" s="21">
        <v>-21.097000000000001</v>
      </c>
      <c r="F36" s="21">
        <v>-19.024999999999999</v>
      </c>
      <c r="G36" s="21"/>
      <c r="H36" s="21"/>
      <c r="I36" s="21"/>
      <c r="J36" s="21">
        <v>-19.231999999999999</v>
      </c>
      <c r="K36" s="21">
        <v>-37.007999999999996</v>
      </c>
      <c r="L36" s="21">
        <v>-22.742999999999999</v>
      </c>
      <c r="M36" s="21">
        <v>-23.393999999999998</v>
      </c>
      <c r="N36" s="21">
        <v>-19.356999999999999</v>
      </c>
      <c r="O36" s="21">
        <v>-42.63300000000001</v>
      </c>
      <c r="P36" s="21">
        <v>-29.927</v>
      </c>
      <c r="Q36" s="21">
        <v>-42.491999999999997</v>
      </c>
      <c r="R36" s="21">
        <v>-24.58</v>
      </c>
    </row>
    <row r="37" spans="1:27" s="20" customFormat="1" x14ac:dyDescent="0.2">
      <c r="A37" s="20" t="s">
        <v>15</v>
      </c>
      <c r="B37" s="20">
        <f>+B35+B36</f>
        <v>39.653999999999996</v>
      </c>
      <c r="C37" s="20">
        <f>+C35+C36</f>
        <v>57.061000000000007</v>
      </c>
      <c r="D37" s="20">
        <f>+D35+D36</f>
        <v>93.802000000000007</v>
      </c>
      <c r="E37" s="20">
        <f>+E35+E36</f>
        <v>69.438999999999993</v>
      </c>
      <c r="F37" s="20">
        <f>+F35+F36</f>
        <v>24.643000000000001</v>
      </c>
      <c r="H37" s="78" t="s">
        <v>83</v>
      </c>
      <c r="I37" s="78" t="s">
        <v>83</v>
      </c>
      <c r="J37" s="20">
        <f>+J35+J36</f>
        <v>59.575000000000003</v>
      </c>
      <c r="K37" s="20">
        <f t="shared" ref="K37:Q37" si="18">+K35+K36</f>
        <v>51.183999999999955</v>
      </c>
      <c r="L37" s="20">
        <f t="shared" si="18"/>
        <v>73.09</v>
      </c>
      <c r="M37" s="20">
        <f t="shared" si="18"/>
        <v>47.448</v>
      </c>
      <c r="N37" s="20">
        <f t="shared" si="18"/>
        <v>71.822000000000003</v>
      </c>
      <c r="O37" s="20">
        <f t="shared" si="18"/>
        <v>29.915999999999968</v>
      </c>
      <c r="P37" s="20">
        <f t="shared" si="18"/>
        <v>63.250000000000007</v>
      </c>
      <c r="Q37" s="20">
        <f t="shared" si="18"/>
        <v>32.112000000000002</v>
      </c>
      <c r="R37" s="20">
        <f t="shared" ref="R37" si="19">+R35+R36</f>
        <v>53.694000000000003</v>
      </c>
    </row>
    <row r="38" spans="1:27" x14ac:dyDescent="0.2">
      <c r="S38" s="11"/>
      <c r="T38" s="11"/>
      <c r="U38" s="11"/>
      <c r="V38" s="11"/>
      <c r="W38" s="11"/>
      <c r="X38" s="11"/>
      <c r="Y38" s="11"/>
      <c r="Z38" s="11"/>
      <c r="AA38" s="11"/>
    </row>
    <row r="39" spans="1:27" s="16" customFormat="1" x14ac:dyDescent="0.2">
      <c r="A39" s="18" t="s">
        <v>14</v>
      </c>
      <c r="B39" s="19">
        <v>0</v>
      </c>
      <c r="C39" s="19">
        <v>0</v>
      </c>
      <c r="D39" s="19">
        <v>0</v>
      </c>
      <c r="E39" s="19">
        <v>0</v>
      </c>
      <c r="F39" s="19">
        <v>0</v>
      </c>
      <c r="G39" s="19"/>
      <c r="H39" s="19">
        <v>0</v>
      </c>
      <c r="I39" s="19">
        <v>0</v>
      </c>
      <c r="J39" s="19">
        <v>0</v>
      </c>
      <c r="K39" s="19"/>
      <c r="L39" s="19"/>
      <c r="M39" s="19"/>
      <c r="N39" s="19"/>
      <c r="O39" s="19"/>
      <c r="P39" s="19"/>
      <c r="Q39" s="19"/>
      <c r="R39" s="19"/>
    </row>
    <row r="40" spans="1:27" s="16" customFormat="1" x14ac:dyDescent="0.2">
      <c r="A40" s="18" t="s">
        <v>13</v>
      </c>
      <c r="B40" s="19">
        <v>1276.6759999999999</v>
      </c>
      <c r="C40" s="19">
        <f>1267+11</f>
        <v>1278</v>
      </c>
      <c r="D40" s="19">
        <v>1301</v>
      </c>
      <c r="E40" s="19">
        <v>1332.0092750000001</v>
      </c>
      <c r="F40" s="19">
        <v>1335.2440000000001</v>
      </c>
      <c r="G40" s="19"/>
      <c r="H40" s="19">
        <v>1303.1099999999999</v>
      </c>
      <c r="I40" s="19">
        <v>1330</v>
      </c>
      <c r="J40" s="19">
        <v>1330</v>
      </c>
      <c r="K40" s="19"/>
      <c r="L40" s="19"/>
      <c r="M40" s="19"/>
      <c r="N40" s="19"/>
      <c r="O40" s="19"/>
      <c r="P40" s="19"/>
      <c r="Q40" s="19"/>
      <c r="R40" s="19"/>
    </row>
    <row r="41" spans="1:27" s="16" customFormat="1" x14ac:dyDescent="0.2">
      <c r="A41" s="18" t="s">
        <v>12</v>
      </c>
      <c r="B41" s="19">
        <f>B39+B40</f>
        <v>1276.6759999999999</v>
      </c>
      <c r="C41" s="19">
        <f>C39+C40</f>
        <v>1278</v>
      </c>
      <c r="D41" s="19">
        <f>D39+D40</f>
        <v>1301</v>
      </c>
      <c r="E41" s="19">
        <f>E39+E40</f>
        <v>1332.0092750000001</v>
      </c>
      <c r="F41" s="19">
        <f>F39+F40</f>
        <v>1335.2440000000001</v>
      </c>
      <c r="G41" s="19"/>
      <c r="H41" s="19">
        <f>H39+H40</f>
        <v>1303.1099999999999</v>
      </c>
      <c r="I41" s="19">
        <f>I39+I40</f>
        <v>1330</v>
      </c>
      <c r="J41" s="19">
        <f>J39+J40</f>
        <v>1330</v>
      </c>
      <c r="K41" s="19"/>
      <c r="L41" s="19"/>
      <c r="M41" s="19"/>
      <c r="N41" s="19"/>
      <c r="O41" s="19"/>
      <c r="P41" s="19"/>
      <c r="Q41" s="19"/>
      <c r="R41" s="19"/>
    </row>
    <row r="42" spans="1:27" s="16" customFormat="1" x14ac:dyDescent="0.2">
      <c r="A42" s="18" t="s">
        <v>11</v>
      </c>
      <c r="B42" s="17">
        <v>1450</v>
      </c>
      <c r="C42" s="17">
        <v>1450</v>
      </c>
      <c r="D42" s="17">
        <v>1450</v>
      </c>
      <c r="E42" s="17">
        <v>1450</v>
      </c>
      <c r="F42" s="17">
        <v>1450</v>
      </c>
      <c r="G42" s="17"/>
      <c r="H42" s="17">
        <v>1450</v>
      </c>
      <c r="I42" s="17">
        <v>2066</v>
      </c>
      <c r="J42" s="17">
        <v>2066</v>
      </c>
      <c r="K42" s="17"/>
      <c r="L42" s="17"/>
      <c r="M42" s="17"/>
      <c r="N42" s="17"/>
      <c r="O42" s="17"/>
      <c r="P42" s="17"/>
      <c r="Q42" s="17"/>
      <c r="R42" s="17"/>
    </row>
    <row r="43" spans="1:27" x14ac:dyDescent="0.2">
      <c r="B43" s="16"/>
      <c r="C43" s="16"/>
      <c r="D43" s="16"/>
      <c r="E43" s="16"/>
      <c r="F43" s="16"/>
      <c r="G43" s="16"/>
      <c r="H43" s="16"/>
      <c r="I43" s="16"/>
      <c r="J43" s="16"/>
      <c r="K43" s="16"/>
      <c r="L43" s="16"/>
    </row>
    <row r="44" spans="1:27" x14ac:dyDescent="0.2">
      <c r="A44" s="15" t="s">
        <v>10</v>
      </c>
      <c r="B44" s="27">
        <v>142.99799999999999</v>
      </c>
      <c r="C44" s="27">
        <v>128</v>
      </c>
      <c r="D44" s="27">
        <v>148.37100000000001</v>
      </c>
      <c r="E44" s="27">
        <v>81.179000000000002</v>
      </c>
      <c r="F44" s="27">
        <v>40.258000000000003</v>
      </c>
      <c r="G44" s="27"/>
      <c r="H44" s="27">
        <v>49.963000000000001</v>
      </c>
      <c r="I44" s="27">
        <v>0</v>
      </c>
      <c r="J44" s="27">
        <v>0</v>
      </c>
      <c r="K44" s="27"/>
      <c r="L44" s="27"/>
      <c r="M44" s="27"/>
      <c r="N44" s="27"/>
      <c r="O44" s="27"/>
      <c r="P44" s="14"/>
      <c r="Q44" s="14"/>
      <c r="R44" s="14"/>
    </row>
    <row r="46" spans="1:27" x14ac:dyDescent="0.2">
      <c r="A46" s="1" t="s">
        <v>9</v>
      </c>
      <c r="B46" s="13">
        <f>SUM(B12:E12)</f>
        <v>2512.2719999999999</v>
      </c>
      <c r="C46" s="13">
        <f>SUM(C12:F12)</f>
        <v>2432.7890000000002</v>
      </c>
      <c r="D46" s="12">
        <f>(D12+E12+F12)/3*4</f>
        <v>2394.7853333333333</v>
      </c>
      <c r="E46" s="12">
        <f>(E12+F12+H12)/3*4</f>
        <v>2318.9479999999999</v>
      </c>
      <c r="F46" s="12">
        <f>(F12+H12)/2*4</f>
        <v>2281.2420000000002</v>
      </c>
      <c r="G46" s="12"/>
      <c r="H46" s="12">
        <v>2259</v>
      </c>
      <c r="I46" s="12"/>
      <c r="J46" s="12">
        <v>2191.989</v>
      </c>
      <c r="K46" s="11"/>
      <c r="L46" s="11"/>
      <c r="M46" s="11"/>
      <c r="N46" s="11"/>
    </row>
    <row r="47" spans="1:27" x14ac:dyDescent="0.2">
      <c r="A47" s="1" t="s">
        <v>8</v>
      </c>
      <c r="B47" s="13">
        <f>B27</f>
        <v>387.39800000000014</v>
      </c>
      <c r="C47" s="13">
        <f>C27</f>
        <v>349.6</v>
      </c>
      <c r="D47" s="13">
        <f>D27</f>
        <v>334.4</v>
      </c>
      <c r="E47" s="13">
        <f>E27</f>
        <v>302</v>
      </c>
      <c r="F47" s="13">
        <f>F27</f>
        <v>276.3</v>
      </c>
      <c r="G47" s="13"/>
      <c r="H47" s="13">
        <f>H27</f>
        <v>294</v>
      </c>
      <c r="I47" s="13">
        <f>J47</f>
        <v>287</v>
      </c>
      <c r="J47" s="12">
        <v>287</v>
      </c>
      <c r="K47" s="11"/>
      <c r="L47" s="11"/>
      <c r="M47" s="11"/>
      <c r="N47" s="11"/>
    </row>
    <row r="48" spans="1:27" x14ac:dyDescent="0.2">
      <c r="A48" s="1" t="s">
        <v>7</v>
      </c>
      <c r="B48" s="13">
        <f>SUM(B37:E37)</f>
        <v>259.95600000000002</v>
      </c>
      <c r="C48" s="13">
        <f>SUM(C37:F37)</f>
        <v>244.94499999999999</v>
      </c>
      <c r="D48" s="12"/>
      <c r="E48" s="12"/>
      <c r="F48" s="12"/>
      <c r="G48" s="12"/>
      <c r="H48" s="12"/>
      <c r="I48" s="12"/>
      <c r="J48" s="12">
        <v>16.027999999999963</v>
      </c>
      <c r="K48" s="11"/>
      <c r="L48" s="11"/>
      <c r="M48" s="11"/>
      <c r="N48" s="11"/>
    </row>
    <row r="50" spans="1:18" s="10" customFormat="1" x14ac:dyDescent="0.2">
      <c r="A50" s="10" t="s">
        <v>6</v>
      </c>
      <c r="B50" s="10">
        <f>+SUM(B39:B40)/B47</f>
        <v>3.295515206583409</v>
      </c>
      <c r="C50" s="10">
        <f>+SUM(C39:C40)/C47</f>
        <v>3.6556064073226544</v>
      </c>
      <c r="D50" s="10">
        <f>+SUM(D39:D40)/D47</f>
        <v>3.8905502392344502</v>
      </c>
      <c r="E50" s="10">
        <f>+SUM(E39:E40)/E47</f>
        <v>4.4106267384105964</v>
      </c>
      <c r="F50" s="10">
        <f>+SUM(F39:F40)/F47</f>
        <v>4.8325877669200148</v>
      </c>
      <c r="H50" s="10">
        <f>+SUM(H39:H40)/H47</f>
        <v>4.4323469387755097</v>
      </c>
      <c r="I50" s="10">
        <f>+SUM(I39:I40)/I47</f>
        <v>4.6341463414634143</v>
      </c>
      <c r="J50" s="10">
        <f>+SUM(J39:J40)/J47</f>
        <v>4.6341463414634143</v>
      </c>
    </row>
    <row r="51" spans="1:18" s="10" customFormat="1" x14ac:dyDescent="0.2">
      <c r="A51" s="10" t="s">
        <v>5</v>
      </c>
      <c r="B51" s="10">
        <f>+B41/B47</f>
        <v>3.295515206583409</v>
      </c>
      <c r="C51" s="10">
        <f>+C41/C47</f>
        <v>3.6556064073226544</v>
      </c>
      <c r="D51" s="10">
        <f>+D41/D47</f>
        <v>3.8905502392344502</v>
      </c>
      <c r="E51" s="10">
        <f>+E41/E47</f>
        <v>4.4106267384105964</v>
      </c>
      <c r="F51" s="10">
        <f>+F41/F47</f>
        <v>4.8325877669200148</v>
      </c>
      <c r="H51" s="10">
        <f>+H41/H47</f>
        <v>4.4323469387755097</v>
      </c>
      <c r="I51" s="10">
        <f>+I41/I47</f>
        <v>4.6341463414634143</v>
      </c>
      <c r="J51" s="10">
        <f>+J41/J47</f>
        <v>4.6341463414634143</v>
      </c>
    </row>
    <row r="52" spans="1:18" s="10" customFormat="1" x14ac:dyDescent="0.2">
      <c r="A52" s="10" t="s">
        <v>4</v>
      </c>
      <c r="B52" s="10">
        <f>+(B41-B44)/B47</f>
        <v>2.9263909467782474</v>
      </c>
      <c r="C52" s="10">
        <f>+(C41-C44)/C47</f>
        <v>3.2894736842105261</v>
      </c>
      <c r="D52" s="10">
        <f>+(D41-D44)/D47</f>
        <v>3.4468570574162678</v>
      </c>
      <c r="E52" s="10">
        <f>+(E41-E44)/E47</f>
        <v>4.141822102649007</v>
      </c>
      <c r="F52" s="10">
        <f>+(F41-F44)/F47</f>
        <v>4.6868838219326818</v>
      </c>
      <c r="H52" s="10">
        <f>+(H41-H44)/H47</f>
        <v>4.2624047619047616</v>
      </c>
      <c r="I52" s="10">
        <f>+(I41-I44)/I47</f>
        <v>4.6341463414634143</v>
      </c>
      <c r="J52" s="10">
        <f>+(J41-J44)/J47</f>
        <v>4.6341463414634143</v>
      </c>
    </row>
    <row r="53" spans="1:18" s="6" customFormat="1" x14ac:dyDescent="0.2">
      <c r="A53" s="6" t="s">
        <v>3</v>
      </c>
      <c r="B53" s="6">
        <f>+B48/B41</f>
        <v>0.20361939912710825</v>
      </c>
      <c r="C53" s="6">
        <f>+C48/C41</f>
        <v>0.19166275430359936</v>
      </c>
      <c r="D53" s="6">
        <f>+D48/D41</f>
        <v>0</v>
      </c>
      <c r="E53" s="6">
        <f>+E48/E41</f>
        <v>0</v>
      </c>
      <c r="F53" s="6">
        <f>+F48/F41</f>
        <v>0</v>
      </c>
      <c r="H53" s="6">
        <f>+H48/H41</f>
        <v>0</v>
      </c>
      <c r="I53" s="6">
        <f>+I48/I41</f>
        <v>0</v>
      </c>
      <c r="J53" s="6">
        <f>+J48/J41</f>
        <v>1.2051127819548844E-2</v>
      </c>
    </row>
    <row r="54" spans="1:18" s="6" customFormat="1" x14ac:dyDescent="0.2">
      <c r="A54" s="8" t="s">
        <v>2</v>
      </c>
      <c r="B54" s="9"/>
      <c r="C54" s="9"/>
      <c r="D54" s="9"/>
      <c r="E54" s="9"/>
      <c r="F54" s="9"/>
      <c r="G54" s="9"/>
      <c r="H54" s="9"/>
      <c r="I54" s="9"/>
      <c r="J54" s="9"/>
      <c r="K54" s="9"/>
      <c r="L54" s="9"/>
      <c r="M54" s="9"/>
      <c r="N54" s="9"/>
      <c r="O54" s="8"/>
      <c r="P54" s="8"/>
      <c r="Q54" s="8"/>
      <c r="R54" s="8"/>
    </row>
    <row r="55" spans="1:18" s="6" customFormat="1" x14ac:dyDescent="0.2">
      <c r="A55" s="6" t="s">
        <v>1</v>
      </c>
      <c r="B55" s="7">
        <f>IF(B42=0,IF(B54="","","*"&amp;TEXT(B54,"0.0x")),(B41+B42-B44)/B47)</f>
        <v>6.669311663973482</v>
      </c>
      <c r="C55" s="7">
        <f>IF(C42=0,IF(C54="","","*"&amp;TEXT(C54,"0.0x")),(C41+C42-C44)/C47)</f>
        <v>7.4370709382151023</v>
      </c>
      <c r="D55" s="7">
        <f>IF(D42=0,IF(D54="","","*"&amp;TEXT(D54,"0.0x")),(D41+D42-D44)/D47)</f>
        <v>7.7829814593301441</v>
      </c>
      <c r="E55" s="7">
        <f>IF(E42=0,IF(E54="","","*"&amp;TEXT(E54,"0.0x")),(E41+E42-E44)/E47)</f>
        <v>8.9431466059602656</v>
      </c>
      <c r="F55" s="7">
        <f>IF(F42=0,IF(F54="","","*"&amp;TEXT(F54,"0.0x")),(F41+F42-F44)/F47)</f>
        <v>9.93480275063337</v>
      </c>
      <c r="G55" s="7"/>
      <c r="H55" s="7">
        <f>IF(H42=0,IF(H54="","","*"&amp;TEXT(H54,"0.0x")),(H41+H42-H44)/H47)</f>
        <v>9.1943775510204055</v>
      </c>
      <c r="I55" s="7">
        <f>IF(I42=0,IF(I54="","","*"&amp;TEXT(I54,"0.0x")),(I41+I42-I44)/I47)</f>
        <v>11.832752613240418</v>
      </c>
      <c r="J55" s="7">
        <f>IF(J42=0,IF(J54="","","*"&amp;TEXT(J54,"0.0x")),(J41+J42-J44)/J47)</f>
        <v>11.832752613240418</v>
      </c>
      <c r="K55" s="7"/>
      <c r="L55" s="7"/>
      <c r="M55" s="7"/>
      <c r="N55" s="7"/>
      <c r="O55" s="7" t="str">
        <f t="shared" ref="O55:Q55" si="20">IF(O42=0,IF(O54="","",CONCATENATE("* ",O54,"x")),(O41+O42-O44)/O47)</f>
        <v/>
      </c>
      <c r="P55" s="7" t="str">
        <f t="shared" si="20"/>
        <v/>
      </c>
      <c r="Q55" s="7" t="str">
        <f t="shared" si="20"/>
        <v/>
      </c>
      <c r="R55" s="7"/>
    </row>
    <row r="56" spans="1:18" x14ac:dyDescent="0.2">
      <c r="N56" s="3"/>
    </row>
    <row r="57" spans="1:18" ht="80.25" customHeight="1" x14ac:dyDescent="0.2">
      <c r="A57" s="5" t="s">
        <v>0</v>
      </c>
      <c r="B57" s="4" t="s">
        <v>104</v>
      </c>
      <c r="C57" s="4" t="s">
        <v>235</v>
      </c>
      <c r="D57" s="4" t="s">
        <v>104</v>
      </c>
      <c r="E57" s="4" t="s">
        <v>104</v>
      </c>
      <c r="F57" s="4" t="s">
        <v>104</v>
      </c>
      <c r="G57" s="4"/>
      <c r="H57" s="4" t="s">
        <v>104</v>
      </c>
      <c r="I57" s="4" t="s">
        <v>428</v>
      </c>
      <c r="J57" s="4" t="s">
        <v>104</v>
      </c>
      <c r="K57" s="4"/>
      <c r="L57" s="4"/>
      <c r="M57" s="4"/>
      <c r="N57" s="4"/>
      <c r="O57" s="4"/>
      <c r="P57" s="4"/>
      <c r="Q57" s="4"/>
      <c r="R57" s="4"/>
    </row>
    <row r="58" spans="1:18" x14ac:dyDescent="0.2">
      <c r="A58" s="2"/>
      <c r="B58" s="3"/>
      <c r="C58" s="3"/>
      <c r="D58" s="3"/>
      <c r="E58" s="3"/>
      <c r="F58" s="3"/>
      <c r="G58" s="3"/>
      <c r="H58" s="3"/>
      <c r="I58" s="3"/>
      <c r="J58" s="3"/>
    </row>
    <row r="59" spans="1:18" x14ac:dyDescent="0.2">
      <c r="A59" s="2"/>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2:P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A11" sqref="A11"/>
    </sheetView>
  </sheetViews>
  <sheetFormatPr defaultRowHeight="12.75" x14ac:dyDescent="0.2"/>
  <cols>
    <col min="1" max="1" width="22.7109375" style="1" customWidth="1"/>
    <col min="2" max="16" width="10.7109375" style="1" customWidth="1"/>
    <col min="17" max="16384" width="9.140625" style="1"/>
  </cols>
  <sheetData>
    <row r="2" spans="1:16" x14ac:dyDescent="0.2">
      <c r="A2" s="34" t="s">
        <v>45</v>
      </c>
      <c r="B2" s="1" t="s">
        <v>396</v>
      </c>
    </row>
    <row r="3" spans="1:16" s="35" customFormat="1" x14ac:dyDescent="0.2">
      <c r="A3" s="36" t="s">
        <v>43</v>
      </c>
      <c r="B3" s="35" t="s">
        <v>397</v>
      </c>
    </row>
    <row r="4" spans="1:16" x14ac:dyDescent="0.2">
      <c r="A4" s="34" t="s">
        <v>41</v>
      </c>
      <c r="B4" s="1" t="s">
        <v>40</v>
      </c>
    </row>
    <row r="5" spans="1:16" x14ac:dyDescent="0.2">
      <c r="A5" s="34" t="s">
        <v>39</v>
      </c>
    </row>
    <row r="6" spans="1:16" x14ac:dyDescent="0.2">
      <c r="A6" s="34" t="s">
        <v>38</v>
      </c>
      <c r="B6" s="1">
        <v>3</v>
      </c>
    </row>
    <row r="7" spans="1:16" x14ac:dyDescent="0.2">
      <c r="A7" s="34" t="s">
        <v>37</v>
      </c>
      <c r="B7" s="1" t="s">
        <v>399</v>
      </c>
    </row>
    <row r="8" spans="1:16" x14ac:dyDescent="0.2">
      <c r="A8" s="34" t="s">
        <v>281</v>
      </c>
      <c r="B8" s="1" t="s">
        <v>398</v>
      </c>
    </row>
    <row r="9" spans="1:16" x14ac:dyDescent="0.2">
      <c r="A9" s="22"/>
    </row>
    <row r="10" spans="1:16" x14ac:dyDescent="0.2">
      <c r="A10" s="22" t="s">
        <v>36</v>
      </c>
      <c r="B10" s="33">
        <v>44104</v>
      </c>
      <c r="C10" s="33">
        <v>44012</v>
      </c>
      <c r="D10" s="33">
        <v>43921</v>
      </c>
      <c r="E10" s="33">
        <v>43830</v>
      </c>
      <c r="F10" s="33">
        <v>43738</v>
      </c>
      <c r="G10" s="33">
        <v>43646</v>
      </c>
      <c r="H10" s="33">
        <v>43555</v>
      </c>
      <c r="I10" s="33">
        <f>EOMONTH(H10,-3)</f>
        <v>43465</v>
      </c>
      <c r="J10" s="33">
        <f t="shared" ref="J10:P10" si="0">EOMONTH(I10,-3)</f>
        <v>43373</v>
      </c>
      <c r="K10" s="33">
        <f t="shared" si="0"/>
        <v>43281</v>
      </c>
      <c r="L10" s="33">
        <f t="shared" si="0"/>
        <v>43190</v>
      </c>
      <c r="M10" s="33">
        <f t="shared" si="0"/>
        <v>43100</v>
      </c>
      <c r="N10" s="33">
        <f t="shared" si="0"/>
        <v>43008</v>
      </c>
      <c r="O10" s="33">
        <f t="shared" si="0"/>
        <v>42916</v>
      </c>
      <c r="P10" s="33">
        <f t="shared" si="0"/>
        <v>42825</v>
      </c>
    </row>
    <row r="12" spans="1:16" x14ac:dyDescent="0.2">
      <c r="A12" s="15" t="s">
        <v>35</v>
      </c>
      <c r="B12" s="19">
        <v>243.749</v>
      </c>
      <c r="C12" s="19">
        <v>200.33099999999999</v>
      </c>
      <c r="D12" s="19">
        <v>218.53299999999999</v>
      </c>
      <c r="E12" s="19">
        <v>205.17400000000001</v>
      </c>
      <c r="F12" s="19">
        <v>209.898</v>
      </c>
      <c r="G12" s="19">
        <v>196.626</v>
      </c>
      <c r="H12" s="19">
        <v>202.17400000000001</v>
      </c>
      <c r="I12" s="19">
        <v>191.88400000000001</v>
      </c>
      <c r="J12" s="19">
        <v>204.00200000000001</v>
      </c>
      <c r="K12" s="19">
        <v>201.155</v>
      </c>
      <c r="L12" s="19">
        <v>198.56800000000001</v>
      </c>
      <c r="M12" s="19">
        <v>179.202</v>
      </c>
      <c r="N12" s="19">
        <v>167.49100000000001</v>
      </c>
      <c r="O12" s="19">
        <v>158.55600000000001</v>
      </c>
      <c r="P12" s="19">
        <v>188.49</v>
      </c>
    </row>
    <row r="13" spans="1:16" s="28" customFormat="1" x14ac:dyDescent="0.2">
      <c r="A13" s="28" t="s">
        <v>34</v>
      </c>
      <c r="B13" s="28">
        <f t="shared" ref="B13:H13" si="1">+B12/F12-1</f>
        <v>0.16127357097256767</v>
      </c>
      <c r="C13" s="28">
        <f t="shared" si="1"/>
        <v>1.8842879375057242E-2</v>
      </c>
      <c r="D13" s="28">
        <f t="shared" si="1"/>
        <v>8.0915449068623913E-2</v>
      </c>
      <c r="E13" s="28">
        <f t="shared" si="1"/>
        <v>6.9260594942777809E-2</v>
      </c>
      <c r="F13" s="28">
        <f t="shared" si="1"/>
        <v>2.8901677434534978E-2</v>
      </c>
      <c r="G13" s="28">
        <f t="shared" si="1"/>
        <v>-2.2514976013521926E-2</v>
      </c>
      <c r="H13" s="28">
        <f t="shared" si="1"/>
        <v>1.8160025784617728E-2</v>
      </c>
      <c r="I13" s="28">
        <f t="shared" ref="I13:L13" si="2">+I12/M12-1</f>
        <v>7.0769299449783052E-2</v>
      </c>
      <c r="J13" s="28">
        <f t="shared" si="2"/>
        <v>0.21798783218202766</v>
      </c>
      <c r="K13" s="28">
        <f t="shared" si="2"/>
        <v>0.26866848305961288</v>
      </c>
      <c r="L13" s="28">
        <f t="shared" si="2"/>
        <v>5.3467027428510727E-2</v>
      </c>
    </row>
    <row r="14" spans="1:16"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1"/>
      <c r="N14" s="31"/>
      <c r="O14" s="31"/>
      <c r="P14" s="31"/>
    </row>
    <row r="16" spans="1:16" s="22" customFormat="1" x14ac:dyDescent="0.2">
      <c r="A16" s="30" t="s">
        <v>31</v>
      </c>
      <c r="B16" s="29">
        <v>34.890999999999991</v>
      </c>
      <c r="C16" s="29">
        <v>25.683999999999994</v>
      </c>
      <c r="D16" s="29">
        <v>29.177999999999983</v>
      </c>
      <c r="E16" s="29">
        <v>29.287000000000017</v>
      </c>
      <c r="F16" s="29">
        <v>32.691000000000003</v>
      </c>
      <c r="G16" s="29">
        <v>31.08100000000001</v>
      </c>
      <c r="H16" s="29">
        <v>30.171000000000006</v>
      </c>
      <c r="I16" s="29">
        <v>21.799000000000078</v>
      </c>
      <c r="J16" s="29">
        <v>30.613000000000007</v>
      </c>
      <c r="K16" s="29">
        <v>31.958999999999993</v>
      </c>
      <c r="L16" s="29">
        <v>27.136000000000017</v>
      </c>
      <c r="M16" s="29">
        <v>30.190080999999999</v>
      </c>
      <c r="N16" s="29">
        <v>37.844999999999999</v>
      </c>
      <c r="O16" s="29">
        <v>35.518999999999998</v>
      </c>
      <c r="P16" s="29">
        <v>31.045000000000012</v>
      </c>
    </row>
    <row r="17" spans="1:16" s="28" customFormat="1" x14ac:dyDescent="0.2">
      <c r="A17" s="28" t="s">
        <v>30</v>
      </c>
      <c r="B17" s="28">
        <f t="shared" ref="B17" si="3">+B16/B12</f>
        <v>0.14314315135651834</v>
      </c>
      <c r="C17" s="28">
        <f t="shared" ref="C17:H17" si="4">+C16/C12</f>
        <v>0.12820781606441337</v>
      </c>
      <c r="D17" s="28">
        <f t="shared" si="4"/>
        <v>0.13351759230871302</v>
      </c>
      <c r="E17" s="28">
        <f t="shared" si="4"/>
        <v>0.14274225779094823</v>
      </c>
      <c r="F17" s="28">
        <f t="shared" si="4"/>
        <v>0.15574707715175945</v>
      </c>
      <c r="G17" s="28">
        <f t="shared" si="4"/>
        <v>0.15807166905699149</v>
      </c>
      <c r="H17" s="28">
        <f t="shared" si="4"/>
        <v>0.14923283903963916</v>
      </c>
      <c r="I17" s="28">
        <f t="shared" ref="I17:O17" si="5">+I16/I12</f>
        <v>0.11360509474474201</v>
      </c>
      <c r="J17" s="28">
        <f t="shared" si="5"/>
        <v>0.15006225429162462</v>
      </c>
      <c r="K17" s="28">
        <f t="shared" si="5"/>
        <v>0.15887748253834105</v>
      </c>
      <c r="L17" s="28">
        <f t="shared" si="5"/>
        <v>0.13665847467869957</v>
      </c>
      <c r="M17" s="28">
        <f t="shared" si="5"/>
        <v>0.16846955391122867</v>
      </c>
      <c r="N17" s="28">
        <f t="shared" si="5"/>
        <v>0.22595243923554098</v>
      </c>
      <c r="O17" s="28">
        <f t="shared" si="5"/>
        <v>0.22401548979540348</v>
      </c>
      <c r="P17" s="28">
        <f t="shared" ref="P17" si="6">+P16/P12</f>
        <v>0.1647036978089024</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row>
    <row r="20" spans="1:16"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row>
    <row r="21" spans="1:16" s="23" customFormat="1" x14ac:dyDescent="0.2">
      <c r="A21" s="15" t="s">
        <v>18</v>
      </c>
      <c r="B21" s="19">
        <f t="shared" ref="B21:C21" si="7">B22-B16-B19-B20</f>
        <v>9.5559999999999974</v>
      </c>
      <c r="C21" s="19">
        <f t="shared" si="7"/>
        <v>10.517000000000007</v>
      </c>
      <c r="D21" s="19">
        <f t="shared" ref="D21:E21" si="8">D22-D16-D19-D20</f>
        <v>5.5540000000000163</v>
      </c>
      <c r="E21" s="19">
        <f t="shared" si="8"/>
        <v>5.1109999999999864</v>
      </c>
      <c r="F21" s="19">
        <f t="shared" ref="F21:L21" si="9">F22-F16-F19-F20</f>
        <v>3.2469999999999999</v>
      </c>
      <c r="G21" s="19">
        <f t="shared" si="9"/>
        <v>4.5749999999999886</v>
      </c>
      <c r="H21" s="19">
        <f t="shared" si="9"/>
        <v>4.4169999999999945</v>
      </c>
      <c r="I21" s="19">
        <f t="shared" si="9"/>
        <v>7.3609999999999225</v>
      </c>
      <c r="J21" s="19">
        <f t="shared" si="9"/>
        <v>4.4739999999999966</v>
      </c>
      <c r="K21" s="19">
        <f t="shared" si="9"/>
        <v>2.3362620000000085</v>
      </c>
      <c r="L21" s="19">
        <f t="shared" si="9"/>
        <v>4.004700999999983</v>
      </c>
      <c r="M21" s="19">
        <v>0</v>
      </c>
      <c r="N21" s="19">
        <v>0</v>
      </c>
      <c r="O21" s="19">
        <v>0</v>
      </c>
      <c r="P21" s="19">
        <v>0</v>
      </c>
    </row>
    <row r="22" spans="1:16" s="22" customFormat="1" x14ac:dyDescent="0.2">
      <c r="A22" s="22" t="s">
        <v>23</v>
      </c>
      <c r="B22" s="61">
        <v>44.446999999999989</v>
      </c>
      <c r="C22" s="61">
        <v>36.201000000000001</v>
      </c>
      <c r="D22" s="61">
        <v>34.731999999999999</v>
      </c>
      <c r="E22" s="61">
        <v>34.398000000000003</v>
      </c>
      <c r="F22" s="61">
        <v>35.938000000000002</v>
      </c>
      <c r="G22" s="61">
        <v>35.655999999999999</v>
      </c>
      <c r="H22" s="61">
        <v>34.588000000000001</v>
      </c>
      <c r="I22" s="61">
        <v>29.16</v>
      </c>
      <c r="J22" s="61">
        <v>35.087000000000003</v>
      </c>
      <c r="K22" s="61">
        <v>34.295262000000001</v>
      </c>
      <c r="L22" s="61">
        <v>31.140701</v>
      </c>
      <c r="M22" s="20">
        <f t="shared" ref="M22:O22" si="10">SUM(M16,M19:M21)</f>
        <v>30.190080999999999</v>
      </c>
      <c r="N22" s="20">
        <f t="shared" si="10"/>
        <v>37.844999999999999</v>
      </c>
      <c r="O22" s="20">
        <f t="shared" si="10"/>
        <v>35.518999999999998</v>
      </c>
      <c r="P22" s="20">
        <f t="shared" ref="P22" si="11">SUM(P16,P19:P21)</f>
        <v>31.045000000000012</v>
      </c>
    </row>
    <row r="23" spans="1:16" s="22" customFormat="1" x14ac:dyDescent="0.2">
      <c r="B23" s="20"/>
      <c r="C23" s="20"/>
      <c r="D23" s="20"/>
      <c r="E23" s="20"/>
      <c r="F23" s="20"/>
      <c r="G23" s="20"/>
      <c r="H23" s="20"/>
      <c r="I23" s="20"/>
      <c r="J23" s="20"/>
      <c r="K23" s="20"/>
      <c r="L23" s="20"/>
      <c r="M23" s="20"/>
      <c r="N23" s="20"/>
      <c r="O23" s="20"/>
      <c r="P23" s="20"/>
    </row>
    <row r="24" spans="1:16" s="22" customFormat="1" x14ac:dyDescent="0.2">
      <c r="A24" s="22" t="s">
        <v>27</v>
      </c>
      <c r="B24" s="20">
        <f t="shared" ref="B24:H24" si="12">SUM(B22:E22)</f>
        <v>149.77799999999999</v>
      </c>
      <c r="C24" s="20">
        <f t="shared" si="12"/>
        <v>141.26900000000001</v>
      </c>
      <c r="D24" s="20">
        <f t="shared" si="12"/>
        <v>140.72399999999999</v>
      </c>
      <c r="E24" s="20">
        <f t="shared" si="12"/>
        <v>140.58000000000001</v>
      </c>
      <c r="F24" s="20">
        <f t="shared" si="12"/>
        <v>135.34199999999998</v>
      </c>
      <c r="G24" s="20">
        <f t="shared" si="12"/>
        <v>134.49099999999999</v>
      </c>
      <c r="H24" s="20">
        <f t="shared" si="12"/>
        <v>133.13026200000002</v>
      </c>
      <c r="I24" s="20">
        <f t="shared" ref="I24:M24" si="13">SUM(I22:L22)</f>
        <v>129.682963</v>
      </c>
      <c r="J24" s="20">
        <f t="shared" si="13"/>
        <v>130.713044</v>
      </c>
      <c r="K24" s="20">
        <f t="shared" si="13"/>
        <v>133.47104400000001</v>
      </c>
      <c r="L24" s="20">
        <f t="shared" si="13"/>
        <v>134.694782</v>
      </c>
      <c r="M24" s="20">
        <f t="shared" si="13"/>
        <v>134.59908100000001</v>
      </c>
      <c r="N24" s="20"/>
      <c r="O24" s="20"/>
      <c r="P24" s="20"/>
    </row>
    <row r="25" spans="1:16" s="23" customFormat="1" x14ac:dyDescent="0.2">
      <c r="A25" s="15" t="s">
        <v>26</v>
      </c>
      <c r="B25" s="27">
        <f>164.808-B24</f>
        <v>15.030000000000001</v>
      </c>
      <c r="C25" s="27">
        <f>146.326-C24</f>
        <v>5.0569999999999879</v>
      </c>
      <c r="D25" s="27">
        <f>146.792-D24</f>
        <v>6.0680000000000121</v>
      </c>
      <c r="E25" s="27">
        <f>147.916-E24</f>
        <v>7.3359999999999843</v>
      </c>
      <c r="F25" s="27">
        <v>0</v>
      </c>
      <c r="G25" s="27">
        <v>0</v>
      </c>
      <c r="H25" s="27">
        <v>0</v>
      </c>
      <c r="I25" s="27">
        <v>0</v>
      </c>
      <c r="J25" s="27">
        <v>0</v>
      </c>
      <c r="K25" s="27">
        <v>0</v>
      </c>
      <c r="L25" s="27">
        <v>0</v>
      </c>
      <c r="M25" s="27">
        <v>0</v>
      </c>
      <c r="N25" s="27"/>
      <c r="O25" s="27"/>
      <c r="P25" s="27"/>
    </row>
    <row r="26" spans="1:16" s="23" customFormat="1" x14ac:dyDescent="0.2">
      <c r="A26" s="15" t="s">
        <v>25</v>
      </c>
      <c r="B26" s="21">
        <v>0</v>
      </c>
      <c r="C26" s="21">
        <v>0</v>
      </c>
      <c r="D26" s="21">
        <v>0</v>
      </c>
      <c r="E26" s="21">
        <v>0</v>
      </c>
      <c r="F26" s="21">
        <v>0</v>
      </c>
      <c r="G26" s="21">
        <v>0</v>
      </c>
      <c r="H26" s="21">
        <v>0</v>
      </c>
      <c r="I26" s="21">
        <v>0</v>
      </c>
      <c r="J26" s="21">
        <v>0</v>
      </c>
      <c r="K26" s="21">
        <v>0</v>
      </c>
      <c r="L26" s="21">
        <v>0</v>
      </c>
      <c r="M26" s="21">
        <v>0</v>
      </c>
      <c r="N26" s="26"/>
      <c r="O26" s="26"/>
      <c r="P26" s="26"/>
    </row>
    <row r="27" spans="1:16" s="24" customFormat="1" x14ac:dyDescent="0.2">
      <c r="A27" s="22" t="s">
        <v>24</v>
      </c>
      <c r="B27" s="20">
        <f t="shared" ref="B27" si="14">SUM(B24:B26)</f>
        <v>164.80799999999999</v>
      </c>
      <c r="C27" s="20">
        <f t="shared" ref="C27:H27" si="15">SUM(C24:C26)</f>
        <v>146.32599999999999</v>
      </c>
      <c r="D27" s="20">
        <f t="shared" si="15"/>
        <v>146.792</v>
      </c>
      <c r="E27" s="20">
        <f t="shared" si="15"/>
        <v>147.916</v>
      </c>
      <c r="F27" s="20">
        <f t="shared" si="15"/>
        <v>135.34199999999998</v>
      </c>
      <c r="G27" s="20">
        <f t="shared" si="15"/>
        <v>134.49099999999999</v>
      </c>
      <c r="H27" s="20">
        <f t="shared" si="15"/>
        <v>133.13026200000002</v>
      </c>
      <c r="I27" s="20">
        <f t="shared" ref="I27:L27" si="16">SUM(I24:I26)</f>
        <v>129.682963</v>
      </c>
      <c r="J27" s="20">
        <f t="shared" si="16"/>
        <v>130.713044</v>
      </c>
      <c r="K27" s="20">
        <f t="shared" si="16"/>
        <v>133.47104400000001</v>
      </c>
      <c r="L27" s="20">
        <f t="shared" si="16"/>
        <v>134.694782</v>
      </c>
      <c r="M27" s="20">
        <f t="shared" ref="M27" si="17">SUM(M24:M26)</f>
        <v>134.59908100000001</v>
      </c>
      <c r="N27" s="25"/>
      <c r="O27" s="25"/>
      <c r="P27" s="25"/>
    </row>
    <row r="28" spans="1:16" s="23" customFormat="1" x14ac:dyDescent="0.2"/>
    <row r="29" spans="1:16" s="22" customFormat="1" x14ac:dyDescent="0.2">
      <c r="A29" s="22" t="s">
        <v>23</v>
      </c>
      <c r="B29" s="20">
        <f t="shared" ref="B29:C29" si="18">B22</f>
        <v>44.446999999999989</v>
      </c>
      <c r="C29" s="20">
        <f t="shared" si="18"/>
        <v>36.201000000000001</v>
      </c>
      <c r="D29" s="20">
        <f t="shared" ref="D29:E29" si="19">D22</f>
        <v>34.731999999999999</v>
      </c>
      <c r="E29" s="20">
        <f t="shared" si="19"/>
        <v>34.398000000000003</v>
      </c>
      <c r="F29" s="20">
        <f t="shared" ref="F29:G29" si="20">F22</f>
        <v>35.938000000000002</v>
      </c>
      <c r="G29" s="20">
        <f t="shared" si="20"/>
        <v>35.655999999999999</v>
      </c>
      <c r="H29" s="20">
        <f t="shared" ref="H29:O29" si="21">H22</f>
        <v>34.588000000000001</v>
      </c>
      <c r="I29" s="20">
        <f t="shared" si="21"/>
        <v>29.16</v>
      </c>
      <c r="J29" s="20">
        <f t="shared" si="21"/>
        <v>35.087000000000003</v>
      </c>
      <c r="K29" s="20">
        <f t="shared" si="21"/>
        <v>34.295262000000001</v>
      </c>
      <c r="L29" s="20">
        <f t="shared" si="21"/>
        <v>31.140701</v>
      </c>
      <c r="M29" s="20">
        <f t="shared" si="21"/>
        <v>30.190080999999999</v>
      </c>
      <c r="N29" s="20">
        <f t="shared" si="21"/>
        <v>37.844999999999999</v>
      </c>
      <c r="O29" s="20">
        <f t="shared" si="21"/>
        <v>35.518999999999998</v>
      </c>
      <c r="P29" s="20">
        <f t="shared" ref="P29" si="22">P22</f>
        <v>31.045000000000012</v>
      </c>
    </row>
    <row r="30" spans="1:16" s="11" customFormat="1" x14ac:dyDescent="0.2">
      <c r="A30" s="19" t="s">
        <v>22</v>
      </c>
      <c r="B30" s="19">
        <v>-11.643000000000001</v>
      </c>
      <c r="C30" s="19">
        <v>-10.439</v>
      </c>
      <c r="D30" s="19">
        <v>-10.739000000000001</v>
      </c>
      <c r="E30" s="19">
        <v>-10.888</v>
      </c>
      <c r="F30" s="19">
        <v>-10.079000000000001</v>
      </c>
      <c r="G30" s="19">
        <v>-9.7040000000000006</v>
      </c>
      <c r="H30" s="19">
        <v>-9.6110000000000007</v>
      </c>
      <c r="I30" s="19">
        <v>-10.36</v>
      </c>
      <c r="J30" s="19">
        <v>-9.8710000000000004</v>
      </c>
      <c r="K30" s="19">
        <v>-9.8379999999999992</v>
      </c>
      <c r="L30" s="19">
        <v>-8.3970000000000002</v>
      </c>
      <c r="M30" s="19">
        <v>-7.6365140000000018</v>
      </c>
      <c r="N30" s="19">
        <v>-6.3150000000000004</v>
      </c>
      <c r="O30" s="19">
        <v>-5.6230000000000002</v>
      </c>
      <c r="P30" s="19">
        <v>-5.6749999999999998</v>
      </c>
    </row>
    <row r="31" spans="1:16" s="11" customFormat="1" x14ac:dyDescent="0.2">
      <c r="A31" s="19" t="s">
        <v>21</v>
      </c>
      <c r="B31" s="19">
        <v>-1.641</v>
      </c>
      <c r="C31" s="19">
        <v>1.292</v>
      </c>
      <c r="D31" s="19">
        <v>-0.59099999999999997</v>
      </c>
      <c r="E31" s="19">
        <v>0.92400000000000004</v>
      </c>
      <c r="F31" s="19">
        <v>-0.81699999999999995</v>
      </c>
      <c r="G31" s="19">
        <v>-1.534</v>
      </c>
      <c r="H31" s="19">
        <v>-1.73</v>
      </c>
      <c r="I31" s="19">
        <v>-5.6199999999999992</v>
      </c>
      <c r="J31" s="19">
        <v>0.24099999999999999</v>
      </c>
      <c r="K31" s="19">
        <v>-1.907</v>
      </c>
      <c r="L31" s="19">
        <v>-0.623</v>
      </c>
      <c r="M31" s="19">
        <v>-4.603826999999999</v>
      </c>
      <c r="N31" s="19">
        <v>-1.845</v>
      </c>
      <c r="O31" s="19">
        <v>-1.6579999999999999</v>
      </c>
      <c r="P31" s="19">
        <v>-5.5620000000000003</v>
      </c>
    </row>
    <row r="32" spans="1:16" s="11" customFormat="1" x14ac:dyDescent="0.2">
      <c r="A32" s="19" t="s">
        <v>20</v>
      </c>
      <c r="B32" s="19">
        <v>-3.1849999999999992</v>
      </c>
      <c r="C32" s="19">
        <v>0.45900000000000002</v>
      </c>
      <c r="D32" s="19">
        <v>-13.840999999999999</v>
      </c>
      <c r="E32" s="19">
        <v>-3.0190000000000001</v>
      </c>
      <c r="F32" s="19">
        <v>-2.2290000000000001</v>
      </c>
      <c r="G32" s="19">
        <v>-4.1170000000000009</v>
      </c>
      <c r="H32" s="19">
        <v>-15.516</v>
      </c>
      <c r="I32" s="19">
        <v>28.221</v>
      </c>
      <c r="J32" s="19">
        <v>0.30499999999999999</v>
      </c>
      <c r="K32" s="19">
        <v>-9.0920000000000005</v>
      </c>
      <c r="L32" s="19">
        <v>-17.282999999999998</v>
      </c>
      <c r="M32" s="19">
        <v>32.392803999999991</v>
      </c>
      <c r="N32" s="19">
        <v>-10.053999999999997</v>
      </c>
      <c r="O32" s="19">
        <v>-7.0149999999999988</v>
      </c>
      <c r="P32" s="19">
        <v>-7.7089999999999987</v>
      </c>
    </row>
    <row r="33" spans="1:16" s="11" customFormat="1" x14ac:dyDescent="0.2">
      <c r="A33" s="19" t="s">
        <v>19</v>
      </c>
      <c r="B33" s="19">
        <f t="shared" ref="B33:C33" si="23">-B19-B20-B21</f>
        <v>-9.5559999999999974</v>
      </c>
      <c r="C33" s="19">
        <f t="shared" si="23"/>
        <v>-10.517000000000007</v>
      </c>
      <c r="D33" s="19">
        <f t="shared" ref="D33:E33" si="24">-D19-D20-D21</f>
        <v>-5.5540000000000163</v>
      </c>
      <c r="E33" s="19">
        <f t="shared" si="24"/>
        <v>-5.1109999999999864</v>
      </c>
      <c r="F33" s="19">
        <f t="shared" ref="F33:L33" si="25">-F19-F20-F21</f>
        <v>-3.2469999999999999</v>
      </c>
      <c r="G33" s="19">
        <f t="shared" si="25"/>
        <v>-4.5749999999999886</v>
      </c>
      <c r="H33" s="19">
        <f t="shared" si="25"/>
        <v>-4.4169999999999945</v>
      </c>
      <c r="I33" s="19">
        <f t="shared" si="25"/>
        <v>-7.3609999999999225</v>
      </c>
      <c r="J33" s="19">
        <f t="shared" si="25"/>
        <v>-4.4739999999999966</v>
      </c>
      <c r="K33" s="19">
        <f t="shared" si="25"/>
        <v>-2.3362620000000085</v>
      </c>
      <c r="L33" s="19">
        <f t="shared" si="25"/>
        <v>-4.004700999999983</v>
      </c>
      <c r="M33" s="19">
        <v>0</v>
      </c>
      <c r="N33" s="19">
        <v>0</v>
      </c>
      <c r="O33" s="19">
        <v>0</v>
      </c>
      <c r="P33" s="19">
        <v>0</v>
      </c>
    </row>
    <row r="34" spans="1:16" s="11" customFormat="1" x14ac:dyDescent="0.2">
      <c r="A34" s="19" t="s">
        <v>18</v>
      </c>
      <c r="B34" s="21">
        <f t="shared" ref="B34:C34" si="26">B35-B29-B30-B31-B32-B33</f>
        <v>-0.73199999999999044</v>
      </c>
      <c r="C34" s="21">
        <f t="shared" si="26"/>
        <v>-9.1819999999999951</v>
      </c>
      <c r="D34" s="21">
        <f t="shared" ref="D34:E34" si="27">D35-D29-D30-D31-D32-D33</f>
        <v>0.71300000000001695</v>
      </c>
      <c r="E34" s="21">
        <f t="shared" si="27"/>
        <v>-2.9700000000000166</v>
      </c>
      <c r="F34" s="21">
        <f t="shared" ref="F34:L34" si="28">F35-F29-F30-F31-F32-F33</f>
        <v>-7.9450000000000003</v>
      </c>
      <c r="G34" s="21">
        <f t="shared" si="28"/>
        <v>-3.6810000000000063</v>
      </c>
      <c r="H34" s="21">
        <f t="shared" si="28"/>
        <v>-3.589000000000004</v>
      </c>
      <c r="I34" s="21">
        <f t="shared" si="28"/>
        <v>-7.0610000000000799</v>
      </c>
      <c r="J34" s="21">
        <f t="shared" si="28"/>
        <v>-2.9270000000000049</v>
      </c>
      <c r="K34" s="21">
        <f t="shared" si="28"/>
        <v>-2.7679999999999918</v>
      </c>
      <c r="L34" s="21">
        <f t="shared" si="28"/>
        <v>0.32499999999998153</v>
      </c>
      <c r="M34" s="21">
        <v>0</v>
      </c>
      <c r="N34" s="21">
        <v>0</v>
      </c>
      <c r="O34" s="21">
        <v>0</v>
      </c>
      <c r="P34" s="21">
        <v>0</v>
      </c>
    </row>
    <row r="35" spans="1:16" s="20" customFormat="1" x14ac:dyDescent="0.2">
      <c r="A35" s="20" t="s">
        <v>17</v>
      </c>
      <c r="B35" s="20">
        <v>17.690000000000001</v>
      </c>
      <c r="C35" s="20">
        <v>7.8140000000000001</v>
      </c>
      <c r="D35" s="20">
        <v>4.72</v>
      </c>
      <c r="E35" s="20">
        <v>13.334</v>
      </c>
      <c r="F35" s="20">
        <v>11.621</v>
      </c>
      <c r="G35" s="20">
        <v>12.045</v>
      </c>
      <c r="H35" s="20">
        <v>-0.27500000000000002</v>
      </c>
      <c r="I35" s="20">
        <v>26.978999999999999</v>
      </c>
      <c r="J35" s="20">
        <v>18.361000000000001</v>
      </c>
      <c r="K35" s="20">
        <v>8.3539999999999992</v>
      </c>
      <c r="L35" s="20">
        <v>1.1579999999999999</v>
      </c>
      <c r="M35" s="20">
        <v>27.477177000000001</v>
      </c>
      <c r="N35" s="20">
        <v>12.52</v>
      </c>
      <c r="O35" s="20">
        <v>8.7729999999999997</v>
      </c>
      <c r="P35" s="20">
        <v>9.1199999999999992</v>
      </c>
    </row>
    <row r="36" spans="1:16" s="11" customFormat="1" x14ac:dyDescent="0.2">
      <c r="A36" s="19" t="s">
        <v>16</v>
      </c>
      <c r="B36" s="21">
        <v>-3.5369999999999999</v>
      </c>
      <c r="C36" s="21">
        <v>-3.8479999999999999</v>
      </c>
      <c r="D36" s="21">
        <v>-3.762</v>
      </c>
      <c r="E36" s="21">
        <v>-5.5629999999999997</v>
      </c>
      <c r="F36" s="21">
        <v>-5.0490000000000004</v>
      </c>
      <c r="G36" s="21">
        <v>-4.2359999999999998</v>
      </c>
      <c r="H36" s="21">
        <v>-2.327</v>
      </c>
      <c r="I36" s="21">
        <v>-2.5259999999999998</v>
      </c>
      <c r="J36" s="21">
        <v>-2.9</v>
      </c>
      <c r="K36" s="21">
        <v>-2.4079999999999999</v>
      </c>
      <c r="L36" s="21">
        <v>-2.867</v>
      </c>
      <c r="M36" s="21">
        <v>-3.5209999999999999</v>
      </c>
      <c r="N36" s="21">
        <v>-4.5940000000000003</v>
      </c>
      <c r="O36" s="21">
        <v>-2.5939999999999999</v>
      </c>
      <c r="P36" s="21">
        <v>-2.851</v>
      </c>
    </row>
    <row r="37" spans="1:16" s="20" customFormat="1" x14ac:dyDescent="0.2">
      <c r="A37" s="20" t="s">
        <v>15</v>
      </c>
      <c r="B37" s="20">
        <f t="shared" ref="B37:H37" si="29">+B35+B36</f>
        <v>14.153000000000002</v>
      </c>
      <c r="C37" s="20">
        <f t="shared" si="29"/>
        <v>3.9660000000000002</v>
      </c>
      <c r="D37" s="20">
        <f t="shared" si="29"/>
        <v>0.95799999999999974</v>
      </c>
      <c r="E37" s="20">
        <f t="shared" si="29"/>
        <v>7.7709999999999999</v>
      </c>
      <c r="F37" s="20">
        <f t="shared" si="29"/>
        <v>6.5720000000000001</v>
      </c>
      <c r="G37" s="20">
        <f t="shared" si="29"/>
        <v>7.8090000000000002</v>
      </c>
      <c r="H37" s="20">
        <f t="shared" si="29"/>
        <v>-2.6019999999999999</v>
      </c>
      <c r="I37" s="20">
        <f t="shared" ref="I37:O37" si="30">+I35+I36</f>
        <v>24.452999999999999</v>
      </c>
      <c r="J37" s="20">
        <f t="shared" si="30"/>
        <v>15.461</v>
      </c>
      <c r="K37" s="20">
        <f t="shared" si="30"/>
        <v>5.9459999999999997</v>
      </c>
      <c r="L37" s="20">
        <f t="shared" si="30"/>
        <v>-1.7090000000000001</v>
      </c>
      <c r="M37" s="20">
        <f t="shared" si="30"/>
        <v>23.956177</v>
      </c>
      <c r="N37" s="20">
        <f t="shared" si="30"/>
        <v>7.9259999999999993</v>
      </c>
      <c r="O37" s="20">
        <f t="shared" si="30"/>
        <v>6.1790000000000003</v>
      </c>
      <c r="P37" s="20">
        <f t="shared" ref="P37" si="31">+P35+P36</f>
        <v>6.2689999999999992</v>
      </c>
    </row>
    <row r="39" spans="1:16" s="16" customFormat="1" x14ac:dyDescent="0.2">
      <c r="A39" s="18" t="s">
        <v>14</v>
      </c>
      <c r="B39" s="19">
        <v>0</v>
      </c>
      <c r="C39" s="19">
        <v>55</v>
      </c>
      <c r="D39" s="19">
        <v>65</v>
      </c>
      <c r="E39" s="19">
        <v>65</v>
      </c>
      <c r="F39" s="19">
        <v>71</v>
      </c>
      <c r="G39" s="19">
        <v>0</v>
      </c>
      <c r="H39" s="19">
        <v>0</v>
      </c>
      <c r="I39" s="19"/>
      <c r="J39" s="19"/>
      <c r="K39" s="19"/>
      <c r="L39" s="19"/>
      <c r="M39" s="19"/>
      <c r="N39" s="19"/>
      <c r="O39" s="19"/>
      <c r="P39" s="19"/>
    </row>
    <row r="40" spans="1:16" s="16" customFormat="1" x14ac:dyDescent="0.2">
      <c r="A40" s="18" t="s">
        <v>13</v>
      </c>
      <c r="B40" s="19">
        <v>939.14300000000003</v>
      </c>
      <c r="C40" s="19">
        <f>640.753+82</f>
        <v>722.75300000000004</v>
      </c>
      <c r="D40" s="19">
        <f>642.363+82</f>
        <v>724.36300000000006</v>
      </c>
      <c r="E40" s="19">
        <f>643.973+82</f>
        <v>725.97299999999996</v>
      </c>
      <c r="F40" s="19">
        <v>643.97299999999996</v>
      </c>
      <c r="G40" s="19">
        <v>643.97299999999996</v>
      </c>
      <c r="H40" s="19">
        <v>644</v>
      </c>
      <c r="I40" s="19"/>
      <c r="J40" s="19"/>
      <c r="K40" s="19"/>
      <c r="L40" s="19"/>
      <c r="M40" s="19"/>
      <c r="N40" s="19"/>
      <c r="O40" s="19"/>
      <c r="P40" s="19"/>
    </row>
    <row r="41" spans="1:16" s="16" customFormat="1" x14ac:dyDescent="0.2">
      <c r="A41" s="18" t="s">
        <v>12</v>
      </c>
      <c r="B41" s="19">
        <f t="shared" ref="B41:H41" si="32">B39+B40</f>
        <v>939.14300000000003</v>
      </c>
      <c r="C41" s="19">
        <f t="shared" si="32"/>
        <v>777.75300000000004</v>
      </c>
      <c r="D41" s="19">
        <f t="shared" si="32"/>
        <v>789.36300000000006</v>
      </c>
      <c r="E41" s="19">
        <f t="shared" si="32"/>
        <v>790.97299999999996</v>
      </c>
      <c r="F41" s="19">
        <f t="shared" si="32"/>
        <v>714.97299999999996</v>
      </c>
      <c r="G41" s="19">
        <f t="shared" si="32"/>
        <v>643.97299999999996</v>
      </c>
      <c r="H41" s="19">
        <f t="shared" si="32"/>
        <v>644</v>
      </c>
      <c r="I41" s="19"/>
      <c r="J41" s="19"/>
      <c r="K41" s="19"/>
      <c r="L41" s="19"/>
      <c r="M41" s="19"/>
      <c r="N41" s="19"/>
      <c r="O41" s="19"/>
      <c r="P41" s="19"/>
    </row>
    <row r="42" spans="1:16" s="16" customFormat="1" x14ac:dyDescent="0.2">
      <c r="A42" s="18" t="s">
        <v>11</v>
      </c>
      <c r="B42" s="17">
        <v>275</v>
      </c>
      <c r="C42" s="17">
        <v>275</v>
      </c>
      <c r="D42" s="17">
        <v>275</v>
      </c>
      <c r="E42" s="17">
        <v>275</v>
      </c>
      <c r="F42" s="17">
        <v>275</v>
      </c>
      <c r="G42" s="17">
        <v>275</v>
      </c>
      <c r="H42" s="17">
        <v>275</v>
      </c>
      <c r="I42" s="17"/>
      <c r="J42" s="17"/>
      <c r="K42" s="17"/>
      <c r="L42" s="17"/>
      <c r="M42" s="17"/>
      <c r="N42" s="17"/>
      <c r="O42" s="17"/>
      <c r="P42" s="17"/>
    </row>
    <row r="43" spans="1:16" x14ac:dyDescent="0.2">
      <c r="B43" s="16"/>
      <c r="C43" s="16"/>
      <c r="D43" s="16"/>
      <c r="E43" s="16"/>
      <c r="F43" s="16"/>
      <c r="G43" s="16"/>
      <c r="H43" s="16"/>
      <c r="I43" s="16"/>
      <c r="J43" s="16"/>
    </row>
    <row r="44" spans="1:16" x14ac:dyDescent="0.2">
      <c r="A44" s="15" t="s">
        <v>10</v>
      </c>
      <c r="B44" s="27">
        <v>70.698999999999998</v>
      </c>
      <c r="C44" s="27">
        <v>31.11</v>
      </c>
      <c r="D44" s="27">
        <v>38.575000000000003</v>
      </c>
      <c r="E44" s="27">
        <v>39.299999999999997</v>
      </c>
      <c r="F44" s="27">
        <v>35.25</v>
      </c>
      <c r="G44" s="27">
        <v>58.097999999999999</v>
      </c>
      <c r="H44" s="27">
        <v>50.9</v>
      </c>
      <c r="I44" s="27"/>
      <c r="J44" s="27"/>
      <c r="K44" s="27"/>
      <c r="L44" s="27"/>
      <c r="M44" s="27"/>
      <c r="N44" s="14"/>
      <c r="O44" s="14"/>
      <c r="P44" s="14"/>
    </row>
    <row r="46" spans="1:16" x14ac:dyDescent="0.2">
      <c r="A46" s="1" t="s">
        <v>9</v>
      </c>
      <c r="B46" s="13">
        <f t="shared" ref="B46:G46" si="33">SUM(B12:E12)</f>
        <v>867.78699999999992</v>
      </c>
      <c r="C46" s="13">
        <f t="shared" si="33"/>
        <v>833.93600000000004</v>
      </c>
      <c r="D46" s="13">
        <f t="shared" si="33"/>
        <v>830.23099999999999</v>
      </c>
      <c r="E46" s="13">
        <f t="shared" si="33"/>
        <v>813.87199999999996</v>
      </c>
      <c r="F46" s="13">
        <f t="shared" si="33"/>
        <v>800.58199999999999</v>
      </c>
      <c r="G46" s="13">
        <f t="shared" si="33"/>
        <v>794.68599999999992</v>
      </c>
      <c r="H46" s="12">
        <v>794.9</v>
      </c>
      <c r="I46" s="11"/>
      <c r="J46" s="11"/>
      <c r="K46" s="11"/>
      <c r="L46" s="11"/>
    </row>
    <row r="47" spans="1:16" x14ac:dyDescent="0.2">
      <c r="A47" s="1" t="s">
        <v>8</v>
      </c>
      <c r="B47" s="13">
        <f t="shared" ref="B47:G47" si="34">B27</f>
        <v>164.80799999999999</v>
      </c>
      <c r="C47" s="13">
        <f t="shared" si="34"/>
        <v>146.32599999999999</v>
      </c>
      <c r="D47" s="13">
        <f t="shared" si="34"/>
        <v>146.792</v>
      </c>
      <c r="E47" s="13">
        <f t="shared" si="34"/>
        <v>147.916</v>
      </c>
      <c r="F47" s="13">
        <f t="shared" si="34"/>
        <v>135.34199999999998</v>
      </c>
      <c r="G47" s="13">
        <f t="shared" si="34"/>
        <v>134.49099999999999</v>
      </c>
      <c r="H47" s="12">
        <v>124.4</v>
      </c>
      <c r="I47" s="11"/>
      <c r="J47" s="11"/>
      <c r="K47" s="11"/>
      <c r="L47" s="11"/>
    </row>
    <row r="48" spans="1:16" x14ac:dyDescent="0.2">
      <c r="A48" s="1" t="s">
        <v>7</v>
      </c>
      <c r="B48" s="13">
        <f t="shared" ref="B48:G48" si="35">SUM(B37:E37)</f>
        <v>26.848000000000003</v>
      </c>
      <c r="C48" s="13">
        <f t="shared" si="35"/>
        <v>19.266999999999999</v>
      </c>
      <c r="D48" s="13">
        <f t="shared" si="35"/>
        <v>23.11</v>
      </c>
      <c r="E48" s="13">
        <f t="shared" si="35"/>
        <v>19.55</v>
      </c>
      <c r="F48" s="13">
        <f t="shared" si="35"/>
        <v>36.231999999999999</v>
      </c>
      <c r="G48" s="13">
        <f t="shared" si="35"/>
        <v>45.121000000000002</v>
      </c>
      <c r="H48" s="12">
        <v>62.718556999999997</v>
      </c>
      <c r="I48" s="11"/>
      <c r="J48" s="11"/>
      <c r="K48" s="11"/>
      <c r="L48" s="11"/>
    </row>
    <row r="50" spans="1:16" s="10" customFormat="1" x14ac:dyDescent="0.2">
      <c r="A50" s="10" t="s">
        <v>6</v>
      </c>
      <c r="B50" s="10">
        <f t="shared" ref="B50" si="36">+SUM(B39:B40)/B47</f>
        <v>5.6984066307460806</v>
      </c>
      <c r="C50" s="10">
        <f t="shared" ref="C50:H50" si="37">+SUM(C39:C40)/C47</f>
        <v>5.3152071402211503</v>
      </c>
      <c r="D50" s="10">
        <f t="shared" si="37"/>
        <v>5.3774252002833949</v>
      </c>
      <c r="E50" s="10">
        <f t="shared" si="37"/>
        <v>5.3474471997620272</v>
      </c>
      <c r="F50" s="10">
        <f t="shared" si="37"/>
        <v>5.2827134222931535</v>
      </c>
      <c r="G50" s="10">
        <f t="shared" si="37"/>
        <v>4.7882237473139471</v>
      </c>
      <c r="H50" s="10">
        <f t="shared" si="37"/>
        <v>5.1768488745980701</v>
      </c>
    </row>
    <row r="51" spans="1:16" s="10" customFormat="1" x14ac:dyDescent="0.2">
      <c r="A51" s="10" t="s">
        <v>5</v>
      </c>
      <c r="B51" s="10">
        <f t="shared" ref="B51" si="38">+B41/B47</f>
        <v>5.6984066307460806</v>
      </c>
      <c r="C51" s="10">
        <f t="shared" ref="C51:H51" si="39">+C41/C47</f>
        <v>5.3152071402211503</v>
      </c>
      <c r="D51" s="10">
        <f t="shared" si="39"/>
        <v>5.3774252002833949</v>
      </c>
      <c r="E51" s="10">
        <f t="shared" si="39"/>
        <v>5.3474471997620272</v>
      </c>
      <c r="F51" s="10">
        <f t="shared" si="39"/>
        <v>5.2827134222931535</v>
      </c>
      <c r="G51" s="10">
        <f t="shared" si="39"/>
        <v>4.7882237473139471</v>
      </c>
      <c r="H51" s="10">
        <f t="shared" si="39"/>
        <v>5.1768488745980701</v>
      </c>
    </row>
    <row r="52" spans="1:16" s="10" customFormat="1" x14ac:dyDescent="0.2">
      <c r="A52" s="10" t="s">
        <v>4</v>
      </c>
      <c r="B52" s="10">
        <f t="shared" ref="B52" si="40">+(B41-B44)/B47</f>
        <v>5.2694286685112379</v>
      </c>
      <c r="C52" s="10">
        <f t="shared" ref="C52:H52" si="41">+(C41-C44)/C47</f>
        <v>5.1025996746989604</v>
      </c>
      <c r="D52" s="10">
        <f t="shared" si="41"/>
        <v>5.1146383999128018</v>
      </c>
      <c r="E52" s="10">
        <f t="shared" si="41"/>
        <v>5.0817558614348686</v>
      </c>
      <c r="F52" s="10">
        <f t="shared" si="41"/>
        <v>5.0222621211449514</v>
      </c>
      <c r="G52" s="10">
        <f t="shared" si="41"/>
        <v>4.3562394509669797</v>
      </c>
      <c r="H52" s="10">
        <f t="shared" si="41"/>
        <v>4.767684887459807</v>
      </c>
    </row>
    <row r="53" spans="1:16" s="6" customFormat="1" x14ac:dyDescent="0.2">
      <c r="A53" s="6" t="s">
        <v>3</v>
      </c>
      <c r="B53" s="6">
        <f t="shared" ref="B53" si="42">+B48/B41</f>
        <v>2.8587765654431756E-2</v>
      </c>
      <c r="C53" s="6">
        <f t="shared" ref="C53:H53" si="43">+C48/C41</f>
        <v>2.4772646328590182E-2</v>
      </c>
      <c r="D53" s="6">
        <f t="shared" si="43"/>
        <v>2.9276771269998718E-2</v>
      </c>
      <c r="E53" s="6">
        <f t="shared" si="43"/>
        <v>2.4716393606355719E-2</v>
      </c>
      <c r="F53" s="6">
        <f t="shared" si="43"/>
        <v>5.0676039514778885E-2</v>
      </c>
      <c r="G53" s="6">
        <f t="shared" si="43"/>
        <v>7.0066602171209053E-2</v>
      </c>
      <c r="H53" s="6">
        <f t="shared" si="43"/>
        <v>9.7389063664596265E-2</v>
      </c>
    </row>
    <row r="54" spans="1:16" s="6" customFormat="1" x14ac:dyDescent="0.2">
      <c r="A54" s="8" t="s">
        <v>2</v>
      </c>
      <c r="B54" s="9"/>
      <c r="C54" s="9"/>
      <c r="D54" s="9"/>
      <c r="E54" s="9"/>
      <c r="F54" s="9"/>
      <c r="G54" s="9"/>
      <c r="H54" s="9"/>
      <c r="I54" s="9"/>
      <c r="J54" s="9"/>
      <c r="K54" s="9"/>
      <c r="L54" s="9"/>
      <c r="M54" s="8"/>
      <c r="N54" s="8"/>
      <c r="O54" s="8"/>
      <c r="P54" s="8"/>
    </row>
    <row r="55" spans="1:16" s="6" customFormat="1" x14ac:dyDescent="0.2">
      <c r="A55" s="6" t="s">
        <v>1</v>
      </c>
      <c r="B55" s="7">
        <f t="shared" ref="B55" si="44">IF(B42=0,IF(B54="","","*"&amp;TEXT(B54,"0.0x")),(B41+B42-B44)/B47)</f>
        <v>6.9380369884957043</v>
      </c>
      <c r="C55" s="7">
        <f t="shared" ref="C55:H55" si="45">IF(C42=0,IF(C54="","","*"&amp;TEXT(C54,"0.0x")),(C41+C42-C44)/C47)</f>
        <v>6.9819649276273541</v>
      </c>
      <c r="D55" s="7">
        <f t="shared" si="45"/>
        <v>6.9880374952313478</v>
      </c>
      <c r="E55" s="7">
        <f t="shared" si="45"/>
        <v>6.9409191703399227</v>
      </c>
      <c r="F55" s="7">
        <f t="shared" si="45"/>
        <v>7.0541517045706437</v>
      </c>
      <c r="G55" s="7">
        <f t="shared" si="45"/>
        <v>6.4009859395796012</v>
      </c>
      <c r="H55" s="7">
        <f t="shared" si="45"/>
        <v>6.978295819935691</v>
      </c>
      <c r="I55" s="7"/>
      <c r="J55" s="7"/>
      <c r="K55" s="7"/>
      <c r="L55" s="7"/>
      <c r="M55" s="7" t="str">
        <f t="shared" ref="M55:O55" si="46">IF(M42=0,IF(M54="","",CONCATENATE("* ",M54,"x")),(M41+M42-M44)/M47)</f>
        <v/>
      </c>
      <c r="N55" s="7" t="str">
        <f t="shared" si="46"/>
        <v/>
      </c>
      <c r="O55" s="7" t="str">
        <f t="shared" si="46"/>
        <v/>
      </c>
      <c r="P55" s="7" t="str">
        <f t="shared" ref="P55" si="47">IF(P42=0,IF(P54="","",CONCATENATE("* ",P54,"x")),(P41+P42-P44)/P47)</f>
        <v/>
      </c>
    </row>
    <row r="56" spans="1:16" x14ac:dyDescent="0.2">
      <c r="L56" s="3"/>
    </row>
    <row r="57" spans="1:16" ht="80.25" customHeight="1" x14ac:dyDescent="0.2">
      <c r="A57" s="5" t="s">
        <v>0</v>
      </c>
      <c r="B57" s="4" t="s">
        <v>104</v>
      </c>
      <c r="C57" s="4" t="s">
        <v>104</v>
      </c>
      <c r="D57" s="4" t="s">
        <v>104</v>
      </c>
      <c r="E57" s="4" t="s">
        <v>104</v>
      </c>
      <c r="F57" s="4" t="s">
        <v>104</v>
      </c>
      <c r="G57" s="4" t="s">
        <v>104</v>
      </c>
      <c r="H57" s="4" t="s">
        <v>104</v>
      </c>
      <c r="I57" s="4"/>
      <c r="J57" s="4"/>
      <c r="K57" s="4"/>
      <c r="L57" s="4"/>
      <c r="M57" s="4"/>
      <c r="N57" s="4"/>
      <c r="O57" s="4"/>
      <c r="P57" s="4"/>
    </row>
    <row r="58" spans="1:16" x14ac:dyDescent="0.2">
      <c r="A58" s="2"/>
      <c r="B58" s="3"/>
      <c r="C58" s="3"/>
      <c r="D58" s="3"/>
      <c r="E58" s="3"/>
      <c r="F58" s="3"/>
      <c r="G58" s="3"/>
      <c r="H58" s="3"/>
    </row>
    <row r="59" spans="1:16" x14ac:dyDescent="0.2">
      <c r="A59" s="2"/>
    </row>
  </sheetData>
  <pageMargins left="0.7" right="0.7" top="0.75" bottom="0.75" header="0.3" footer="0.3"/>
  <pageSetup orientation="portrait" r:id="rId1"/>
  <ignoredErrors>
    <ignoredError sqref="E46:G46 F27:P29 M30:P32 M33:P33 M34:P34 G24:P26 E24 F24:F26 C25:E26 C24:D24" formulaRange="1"/>
  </ignoredErrors>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2:M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T45" sqref="T45"/>
    </sheetView>
  </sheetViews>
  <sheetFormatPr defaultRowHeight="12.75" x14ac:dyDescent="0.2"/>
  <cols>
    <col min="1" max="1" width="22.7109375" style="1" customWidth="1"/>
    <col min="2" max="10" width="10.7109375" style="1" customWidth="1"/>
    <col min="11" max="11" width="9.140625" style="1"/>
    <col min="12" max="12" width="10.42578125" style="1" bestFit="1" customWidth="1"/>
    <col min="13" max="13" width="9.85546875" style="1" bestFit="1" customWidth="1"/>
    <col min="14" max="16384" width="9.140625" style="1"/>
  </cols>
  <sheetData>
    <row r="2" spans="1:10" x14ac:dyDescent="0.2">
      <c r="A2" s="34" t="s">
        <v>45</v>
      </c>
      <c r="B2" s="1" t="s">
        <v>404</v>
      </c>
    </row>
    <row r="3" spans="1:10" s="35" customFormat="1" x14ac:dyDescent="0.2">
      <c r="A3" s="36" t="s">
        <v>43</v>
      </c>
      <c r="B3" s="35" t="s">
        <v>403</v>
      </c>
    </row>
    <row r="4" spans="1:10" x14ac:dyDescent="0.2">
      <c r="A4" s="34" t="s">
        <v>41</v>
      </c>
      <c r="B4" s="1" t="s">
        <v>40</v>
      </c>
    </row>
    <row r="5" spans="1:10" x14ac:dyDescent="0.2">
      <c r="A5" s="34" t="s">
        <v>39</v>
      </c>
    </row>
    <row r="6" spans="1:10" x14ac:dyDescent="0.2">
      <c r="A6" s="34" t="s">
        <v>38</v>
      </c>
      <c r="B6" s="1">
        <v>3</v>
      </c>
    </row>
    <row r="7" spans="1:10" x14ac:dyDescent="0.2">
      <c r="A7" s="34" t="s">
        <v>37</v>
      </c>
      <c r="B7" s="1" t="s">
        <v>402</v>
      </c>
    </row>
    <row r="8" spans="1:10" ht="15" customHeight="1" x14ac:dyDescent="0.2">
      <c r="A8" s="34" t="s">
        <v>281</v>
      </c>
      <c r="B8" s="1" t="s">
        <v>401</v>
      </c>
    </row>
    <row r="9" spans="1:10" x14ac:dyDescent="0.2">
      <c r="A9" s="22"/>
    </row>
    <row r="10" spans="1:10" x14ac:dyDescent="0.2">
      <c r="A10" s="22" t="s">
        <v>36</v>
      </c>
      <c r="B10" s="33">
        <v>43921</v>
      </c>
      <c r="C10" s="33">
        <v>43830</v>
      </c>
      <c r="D10" s="33">
        <v>43738</v>
      </c>
      <c r="E10" s="33">
        <v>43646</v>
      </c>
      <c r="F10" s="33">
        <v>43555</v>
      </c>
      <c r="G10" s="33">
        <f>EOMONTH(F10,-3)</f>
        <v>43465</v>
      </c>
      <c r="H10" s="33">
        <f t="shared" ref="H10:J10" si="0">EOMONTH(G10,-3)</f>
        <v>43373</v>
      </c>
      <c r="I10" s="33">
        <f t="shared" si="0"/>
        <v>43281</v>
      </c>
      <c r="J10" s="33">
        <f t="shared" si="0"/>
        <v>43190</v>
      </c>
    </row>
    <row r="12" spans="1:10" x14ac:dyDescent="0.2">
      <c r="A12" s="15" t="s">
        <v>35</v>
      </c>
      <c r="B12" s="19">
        <v>17.842026000000001</v>
      </c>
      <c r="C12" s="19">
        <v>82.050147999999979</v>
      </c>
      <c r="D12" s="19">
        <v>98.316395</v>
      </c>
      <c r="E12" s="19">
        <v>83.528628999999995</v>
      </c>
      <c r="F12" s="19">
        <v>29.207929</v>
      </c>
      <c r="G12" s="19">
        <v>79.865987000000004</v>
      </c>
      <c r="H12" s="19">
        <v>98.503776000000002</v>
      </c>
      <c r="I12" s="19">
        <v>79.353826999999995</v>
      </c>
      <c r="J12" s="19">
        <v>31.441603000000001</v>
      </c>
    </row>
    <row r="13" spans="1:10" s="28" customFormat="1" x14ac:dyDescent="0.2">
      <c r="A13" s="28" t="s">
        <v>34</v>
      </c>
      <c r="B13" s="28">
        <f>+B12/F12-1</f>
        <v>-0.38913758657794595</v>
      </c>
      <c r="C13" s="28">
        <f>+C12/G12-1</f>
        <v>2.7347824550142619E-2</v>
      </c>
      <c r="D13" s="28">
        <f>+D12/H12-1</f>
        <v>-1.9022722540098513E-3</v>
      </c>
      <c r="E13" s="28">
        <f>+E12/I12-1</f>
        <v>5.2609964230206474E-2</v>
      </c>
      <c r="F13" s="28">
        <f>+F12/J12-1</f>
        <v>-7.1041988539833678E-2</v>
      </c>
    </row>
    <row r="14" spans="1:10" s="23" customFormat="1" x14ac:dyDescent="0.2">
      <c r="A14" s="31" t="s">
        <v>33</v>
      </c>
      <c r="B14" s="32" t="s">
        <v>32</v>
      </c>
      <c r="C14" s="32" t="s">
        <v>32</v>
      </c>
      <c r="D14" s="32" t="s">
        <v>32</v>
      </c>
      <c r="E14" s="32" t="s">
        <v>32</v>
      </c>
      <c r="F14" s="32" t="s">
        <v>32</v>
      </c>
      <c r="G14" s="32"/>
      <c r="H14" s="32"/>
      <c r="I14" s="32"/>
      <c r="J14" s="31"/>
    </row>
    <row r="16" spans="1:10" s="22" customFormat="1" x14ac:dyDescent="0.2">
      <c r="A16" s="30" t="s">
        <v>31</v>
      </c>
      <c r="B16" s="29">
        <f>B22-B21-B20-B19</f>
        <v>-12.231028</v>
      </c>
      <c r="C16" s="29">
        <f>10.531913+7.992314+3.314248+23.859149-D16-E16-F16</f>
        <v>11.692136</v>
      </c>
      <c r="D16" s="29">
        <v>23.238482000000001</v>
      </c>
      <c r="E16" s="29">
        <v>17.561456999999997</v>
      </c>
      <c r="F16" s="29">
        <v>-6.7944510000000005</v>
      </c>
      <c r="G16" s="29">
        <v>20.726318000000049</v>
      </c>
      <c r="H16" s="29">
        <v>22.510466999999998</v>
      </c>
      <c r="I16" s="29">
        <v>13.152272999999996</v>
      </c>
      <c r="J16" s="29">
        <v>-10.073053999999999</v>
      </c>
    </row>
    <row r="17" spans="1:13" s="28" customFormat="1" x14ac:dyDescent="0.2">
      <c r="A17" s="28" t="s">
        <v>30</v>
      </c>
      <c r="B17" s="28">
        <f>+B16/B12</f>
        <v>-0.68551788905587285</v>
      </c>
      <c r="C17" s="28">
        <f>+C16/C12</f>
        <v>0.14249987702642539</v>
      </c>
      <c r="D17" s="28">
        <f>+D16/D12</f>
        <v>0.23636426050812787</v>
      </c>
      <c r="E17" s="28">
        <f>+E16/E12</f>
        <v>0.21024476530076888</v>
      </c>
      <c r="F17" s="28">
        <f>+F16/F12</f>
        <v>-0.23262351123902009</v>
      </c>
      <c r="G17" s="28">
        <f t="shared" ref="G17:J17" si="1">+G16/G12</f>
        <v>0.2595137026228706</v>
      </c>
      <c r="H17" s="28">
        <f t="shared" si="1"/>
        <v>0.22852389942899243</v>
      </c>
      <c r="I17" s="28">
        <f t="shared" si="1"/>
        <v>0.16574213868727461</v>
      </c>
      <c r="J17" s="28">
        <f t="shared" si="1"/>
        <v>-0.32037342370870847</v>
      </c>
    </row>
    <row r="18" spans="1:13" s="23" customFormat="1" x14ac:dyDescent="0.2"/>
    <row r="19" spans="1:13" s="23" customFormat="1" x14ac:dyDescent="0.2">
      <c r="A19" s="15" t="s">
        <v>29</v>
      </c>
      <c r="B19" s="19">
        <v>0</v>
      </c>
      <c r="C19" s="19">
        <v>0</v>
      </c>
      <c r="D19" s="19">
        <v>0</v>
      </c>
      <c r="E19" s="19">
        <v>0</v>
      </c>
      <c r="F19" s="19">
        <v>0</v>
      </c>
      <c r="G19" s="19">
        <v>0</v>
      </c>
      <c r="H19" s="19">
        <v>0</v>
      </c>
      <c r="I19" s="19">
        <v>0</v>
      </c>
      <c r="J19" s="19">
        <v>0</v>
      </c>
    </row>
    <row r="20" spans="1:13" s="23" customFormat="1" x14ac:dyDescent="0.2">
      <c r="A20" s="15" t="s">
        <v>28</v>
      </c>
      <c r="B20" s="19">
        <v>0</v>
      </c>
      <c r="C20" s="19">
        <v>0</v>
      </c>
      <c r="D20" s="19">
        <v>0</v>
      </c>
      <c r="E20" s="19">
        <v>0</v>
      </c>
      <c r="F20" s="19">
        <v>0</v>
      </c>
      <c r="G20" s="19">
        <v>0</v>
      </c>
      <c r="H20" s="19">
        <v>0</v>
      </c>
      <c r="I20" s="19">
        <v>0</v>
      </c>
      <c r="J20" s="19">
        <v>0</v>
      </c>
    </row>
    <row r="21" spans="1:13" s="23" customFormat="1" x14ac:dyDescent="0.2">
      <c r="A21" s="15" t="s">
        <v>18</v>
      </c>
      <c r="B21" s="19">
        <v>0</v>
      </c>
      <c r="C21" s="19">
        <f t="shared" ref="C21:J21" si="2">C22-C16-C19-C20</f>
        <v>4.9117420000000021</v>
      </c>
      <c r="D21" s="19">
        <f t="shared" si="2"/>
        <v>3.2040119999999987</v>
      </c>
      <c r="E21" s="19">
        <f t="shared" si="2"/>
        <v>2.857560000000003</v>
      </c>
      <c r="F21" s="19">
        <f t="shared" si="2"/>
        <v>2.3557700000000006</v>
      </c>
      <c r="G21" s="19">
        <f t="shared" si="2"/>
        <v>-0.8125850000000483</v>
      </c>
      <c r="H21" s="19">
        <f t="shared" si="2"/>
        <v>2.5736360000000005</v>
      </c>
      <c r="I21" s="19">
        <f t="shared" si="2"/>
        <v>4.2477270000000029</v>
      </c>
      <c r="J21" s="19">
        <f t="shared" si="2"/>
        <v>4.8730539999999989</v>
      </c>
    </row>
    <row r="22" spans="1:13" s="22" customFormat="1" x14ac:dyDescent="0.2">
      <c r="A22" s="22" t="s">
        <v>23</v>
      </c>
      <c r="B22" s="61">
        <v>-12.231028</v>
      </c>
      <c r="C22" s="61">
        <f>16.603878</f>
        <v>16.603878000000002</v>
      </c>
      <c r="D22" s="61">
        <v>26.442494</v>
      </c>
      <c r="E22" s="61">
        <v>20.419017</v>
      </c>
      <c r="F22" s="61">
        <v>-4.4386809999999999</v>
      </c>
      <c r="G22" s="61">
        <v>19.913733000000001</v>
      </c>
      <c r="H22" s="61">
        <v>25.084102999999999</v>
      </c>
      <c r="I22" s="61">
        <v>17.399999999999999</v>
      </c>
      <c r="J22" s="61">
        <v>-5.2</v>
      </c>
    </row>
    <row r="23" spans="1:13" s="22" customFormat="1" x14ac:dyDescent="0.2">
      <c r="B23" s="28"/>
      <c r="C23" s="28"/>
      <c r="D23" s="20"/>
      <c r="E23" s="20"/>
      <c r="F23" s="20"/>
      <c r="G23" s="20"/>
      <c r="H23" s="20"/>
      <c r="I23" s="20"/>
      <c r="J23" s="20"/>
    </row>
    <row r="24" spans="1:13" s="22" customFormat="1" x14ac:dyDescent="0.2">
      <c r="A24" s="22" t="s">
        <v>27</v>
      </c>
      <c r="B24" s="20">
        <f>SUM(B22:E22)</f>
        <v>51.234361000000007</v>
      </c>
      <c r="C24" s="20">
        <f>SUM(C22:F22)</f>
        <v>59.026707999999999</v>
      </c>
      <c r="D24" s="20">
        <f>SUM(D22:G22)</f>
        <v>62.336562999999998</v>
      </c>
      <c r="E24" s="20">
        <v>60.978172000000001</v>
      </c>
      <c r="F24" s="20">
        <f>SUM(F22:I22)</f>
        <v>57.959155000000003</v>
      </c>
      <c r="G24" s="20">
        <f>SUM(G22:J22)</f>
        <v>57.197835999999995</v>
      </c>
      <c r="H24" s="20"/>
      <c r="I24" s="20"/>
      <c r="J24" s="20"/>
    </row>
    <row r="25" spans="1:13" s="23" customFormat="1" x14ac:dyDescent="0.2">
      <c r="A25" s="15" t="s">
        <v>26</v>
      </c>
      <c r="B25" s="27">
        <v>0</v>
      </c>
      <c r="C25" s="27">
        <v>0</v>
      </c>
      <c r="D25" s="27">
        <f>62.336563-D24</f>
        <v>0</v>
      </c>
      <c r="E25" s="27">
        <f>61.3-E24</f>
        <v>0.32182799999999645</v>
      </c>
      <c r="F25" s="27">
        <f>57.9-F24</f>
        <v>-5.9155000000004065E-2</v>
      </c>
      <c r="G25" s="27">
        <v>0</v>
      </c>
      <c r="H25" s="27"/>
      <c r="I25" s="27"/>
      <c r="J25" s="27"/>
    </row>
    <row r="26" spans="1:13" s="23" customFormat="1" x14ac:dyDescent="0.2">
      <c r="A26" s="15" t="s">
        <v>25</v>
      </c>
      <c r="B26" s="21">
        <v>0</v>
      </c>
      <c r="C26" s="21">
        <v>0</v>
      </c>
      <c r="D26" s="21">
        <v>0</v>
      </c>
      <c r="E26" s="21">
        <v>0</v>
      </c>
      <c r="F26" s="21">
        <v>0</v>
      </c>
      <c r="G26" s="21">
        <v>0</v>
      </c>
      <c r="H26" s="21"/>
      <c r="I26" s="21"/>
      <c r="J26" s="21"/>
    </row>
    <row r="27" spans="1:13" s="24" customFormat="1" x14ac:dyDescent="0.2">
      <c r="A27" s="22" t="s">
        <v>24</v>
      </c>
      <c r="B27" s="20">
        <f>SUM(B24:B26)</f>
        <v>51.234361000000007</v>
      </c>
      <c r="C27" s="20">
        <f>SUM(C24:C26)</f>
        <v>59.026707999999999</v>
      </c>
      <c r="D27" s="20">
        <f>SUM(D24:D26)</f>
        <v>62.336562999999998</v>
      </c>
      <c r="E27" s="20">
        <f>SUM(E24:E26)</f>
        <v>61.3</v>
      </c>
      <c r="F27" s="20">
        <f>SUM(F24:F26)</f>
        <v>57.9</v>
      </c>
      <c r="G27" s="20">
        <f t="shared" ref="G27" si="3">SUM(G24:G26)</f>
        <v>57.197835999999995</v>
      </c>
      <c r="H27" s="20"/>
      <c r="I27" s="20"/>
      <c r="J27" s="20"/>
    </row>
    <row r="28" spans="1:13" s="23" customFormat="1" x14ac:dyDescent="0.2"/>
    <row r="29" spans="1:13" s="22" customFormat="1" x14ac:dyDescent="0.2">
      <c r="A29" s="22" t="s">
        <v>23</v>
      </c>
      <c r="B29" s="20">
        <f t="shared" ref="B29" si="4">B22</f>
        <v>-12.231028</v>
      </c>
      <c r="C29" s="20">
        <f t="shared" ref="C29:D29" si="5">C22</f>
        <v>16.603878000000002</v>
      </c>
      <c r="D29" s="20">
        <f t="shared" si="5"/>
        <v>26.442494</v>
      </c>
      <c r="E29" s="20">
        <f t="shared" ref="E29:J29" si="6">E22</f>
        <v>20.419017</v>
      </c>
      <c r="F29" s="20">
        <f t="shared" si="6"/>
        <v>-4.4386809999999999</v>
      </c>
      <c r="G29" s="20">
        <f t="shared" si="6"/>
        <v>19.913733000000001</v>
      </c>
      <c r="H29" s="20">
        <f t="shared" si="6"/>
        <v>25.084102999999999</v>
      </c>
      <c r="I29" s="20">
        <f t="shared" si="6"/>
        <v>17.399999999999999</v>
      </c>
      <c r="J29" s="20">
        <f t="shared" si="6"/>
        <v>-5.2</v>
      </c>
      <c r="M29" s="66"/>
    </row>
    <row r="30" spans="1:13" s="11" customFormat="1" x14ac:dyDescent="0.2">
      <c r="A30" s="19" t="s">
        <v>22</v>
      </c>
      <c r="B30" s="19">
        <v>-12.598197000000001</v>
      </c>
      <c r="C30" s="19"/>
      <c r="D30" s="19">
        <v>-8.6724180000000004</v>
      </c>
      <c r="E30" s="19">
        <v>-4.3668129999999996</v>
      </c>
      <c r="F30" s="19">
        <v>-5.0805379999999998</v>
      </c>
      <c r="G30" s="19">
        <v>-1.8808020000000027</v>
      </c>
      <c r="H30" s="19">
        <v>-5.4944189999999997</v>
      </c>
      <c r="I30" s="19">
        <v>-6.04392</v>
      </c>
      <c r="J30" s="19">
        <v>-3.4177569999999999</v>
      </c>
    </row>
    <row r="31" spans="1:13" s="11" customFormat="1" x14ac:dyDescent="0.2">
      <c r="A31" s="19" t="s">
        <v>21</v>
      </c>
      <c r="B31" s="19">
        <v>8.6631269999999994</v>
      </c>
      <c r="C31" s="19"/>
      <c r="D31" s="19">
        <v>-5.0809170000000003</v>
      </c>
      <c r="E31" s="19">
        <v>-1.5793569999999999</v>
      </c>
      <c r="F31" s="19">
        <v>-0.35442400000000002</v>
      </c>
      <c r="G31" s="19">
        <v>-1.479911</v>
      </c>
      <c r="H31" s="19">
        <v>0</v>
      </c>
      <c r="I31" s="19">
        <v>0</v>
      </c>
      <c r="J31" s="19">
        <v>0</v>
      </c>
    </row>
    <row r="32" spans="1:13" s="11" customFormat="1" x14ac:dyDescent="0.2">
      <c r="A32" s="19" t="s">
        <v>20</v>
      </c>
      <c r="B32" s="19">
        <v>25.546353</v>
      </c>
      <c r="C32" s="19">
        <v>10.331994999999999</v>
      </c>
      <c r="D32" s="19">
        <v>-7.4099969999999988</v>
      </c>
      <c r="E32" s="19">
        <v>-9.1969789999999989</v>
      </c>
      <c r="F32" s="19">
        <v>4.7118549999999981</v>
      </c>
      <c r="G32" s="19">
        <v>-5.0305999999999997E-2</v>
      </c>
      <c r="H32" s="19">
        <v>-0.68544099999999952</v>
      </c>
      <c r="I32" s="19">
        <v>-12.134960999999999</v>
      </c>
      <c r="J32" s="19">
        <v>14.819615999999998</v>
      </c>
    </row>
    <row r="33" spans="1:13" s="11" customFormat="1" x14ac:dyDescent="0.2">
      <c r="A33" s="19" t="s">
        <v>19</v>
      </c>
      <c r="B33" s="19">
        <v>0</v>
      </c>
      <c r="C33" s="19">
        <v>0</v>
      </c>
      <c r="D33" s="19">
        <v>0</v>
      </c>
      <c r="E33" s="19">
        <v>0</v>
      </c>
      <c r="F33" s="19">
        <v>0</v>
      </c>
      <c r="G33" s="19">
        <v>0</v>
      </c>
      <c r="H33" s="19">
        <v>0</v>
      </c>
      <c r="I33" s="19">
        <v>0</v>
      </c>
      <c r="J33" s="19">
        <v>0</v>
      </c>
    </row>
    <row r="34" spans="1:13" s="11" customFormat="1" x14ac:dyDescent="0.2">
      <c r="A34" s="19" t="s">
        <v>18</v>
      </c>
      <c r="B34" s="21">
        <v>0</v>
      </c>
      <c r="C34" s="21">
        <v>0</v>
      </c>
      <c r="D34" s="21">
        <v>0</v>
      </c>
      <c r="E34" s="21">
        <v>0</v>
      </c>
      <c r="F34" s="21">
        <v>0</v>
      </c>
      <c r="G34" s="21">
        <v>0</v>
      </c>
      <c r="H34" s="21">
        <v>0</v>
      </c>
      <c r="I34" s="21">
        <v>0</v>
      </c>
      <c r="J34" s="21">
        <v>0</v>
      </c>
    </row>
    <row r="35" spans="1:13" s="20" customFormat="1" x14ac:dyDescent="0.2">
      <c r="A35" s="20" t="s">
        <v>17</v>
      </c>
      <c r="B35" s="20">
        <v>3.4485030000000001</v>
      </c>
      <c r="C35" s="20">
        <v>17.279491</v>
      </c>
      <c r="D35" s="20">
        <v>11.590277</v>
      </c>
      <c r="E35" s="20">
        <v>2.8839000000000001</v>
      </c>
      <c r="F35" s="20">
        <v>-7.3726260000000003</v>
      </c>
      <c r="G35" s="20">
        <v>14.498867000000001</v>
      </c>
      <c r="H35" s="20">
        <v>17.157208000000001</v>
      </c>
      <c r="I35" s="20">
        <v>-4.0198419999999997</v>
      </c>
      <c r="J35" s="20">
        <v>2.8083499999999999</v>
      </c>
    </row>
    <row r="36" spans="1:13" s="11" customFormat="1" x14ac:dyDescent="0.2">
      <c r="A36" s="19" t="s">
        <v>16</v>
      </c>
      <c r="B36" s="21">
        <v>-1.94998</v>
      </c>
      <c r="C36" s="21">
        <v>-2.0770029999999999</v>
      </c>
      <c r="D36" s="21">
        <v>-0.95825699999999969</v>
      </c>
      <c r="E36" s="21">
        <v>-2.056012</v>
      </c>
      <c r="F36" s="21">
        <v>-1.2775080000000001</v>
      </c>
      <c r="G36" s="21">
        <v>-1.9608970000000001</v>
      </c>
      <c r="H36" s="21">
        <v>-2.0507029999999999</v>
      </c>
      <c r="I36" s="21">
        <v>-1.9829349999999999</v>
      </c>
      <c r="J36" s="21">
        <v>-1.257431</v>
      </c>
    </row>
    <row r="37" spans="1:13" s="20" customFormat="1" x14ac:dyDescent="0.2">
      <c r="A37" s="20" t="s">
        <v>15</v>
      </c>
      <c r="B37" s="20">
        <f>+B35+B36</f>
        <v>1.498523</v>
      </c>
      <c r="C37" s="20">
        <f>+C35+C36</f>
        <v>15.202488000000001</v>
      </c>
      <c r="D37" s="20">
        <f>+D35+D36</f>
        <v>10.632020000000001</v>
      </c>
      <c r="E37" s="20">
        <f>+E35+E36</f>
        <v>0.82788800000000018</v>
      </c>
      <c r="F37" s="20">
        <f>+F35+F36</f>
        <v>-8.6501340000000013</v>
      </c>
      <c r="G37" s="20">
        <f t="shared" ref="G37:J37" si="7">+G35+G36</f>
        <v>12.537970000000001</v>
      </c>
      <c r="H37" s="20">
        <f t="shared" si="7"/>
        <v>15.106505</v>
      </c>
      <c r="I37" s="20">
        <f t="shared" si="7"/>
        <v>-6.002777</v>
      </c>
      <c r="J37" s="20">
        <f t="shared" si="7"/>
        <v>1.5509189999999999</v>
      </c>
    </row>
    <row r="38" spans="1:13" x14ac:dyDescent="0.2">
      <c r="L38" s="69"/>
      <c r="M38" s="69"/>
    </row>
    <row r="39" spans="1:13" s="16" customFormat="1" x14ac:dyDescent="0.2">
      <c r="A39" s="18" t="s">
        <v>14</v>
      </c>
      <c r="B39" s="19">
        <f>C39+10-3</f>
        <v>7</v>
      </c>
      <c r="C39" s="19">
        <v>0</v>
      </c>
      <c r="D39" s="19">
        <v>0</v>
      </c>
      <c r="E39" s="19">
        <v>0</v>
      </c>
      <c r="F39" s="19">
        <v>0</v>
      </c>
      <c r="G39" s="19"/>
      <c r="H39" s="19"/>
      <c r="I39" s="19"/>
      <c r="J39" s="19"/>
    </row>
    <row r="40" spans="1:13" s="16" customFormat="1" x14ac:dyDescent="0.2">
      <c r="A40" s="18" t="s">
        <v>13</v>
      </c>
      <c r="B40" s="19">
        <f>C40-0.6875-0.835719</f>
        <v>265.52503100000001</v>
      </c>
      <c r="C40" s="19">
        <f>D40-0.6875-0.828827</f>
        <v>267.04825</v>
      </c>
      <c r="D40" s="19">
        <v>268.56457699999999</v>
      </c>
      <c r="E40" s="19">
        <f>F40-(265*0.25/100)</f>
        <v>264.33749999999998</v>
      </c>
      <c r="F40" s="19">
        <v>265</v>
      </c>
      <c r="G40" s="19"/>
      <c r="H40" s="19"/>
      <c r="I40" s="19"/>
      <c r="J40" s="19"/>
    </row>
    <row r="41" spans="1:13" s="16" customFormat="1" x14ac:dyDescent="0.2">
      <c r="A41" s="18" t="s">
        <v>12</v>
      </c>
      <c r="B41" s="19">
        <f>B39+B40</f>
        <v>272.52503100000001</v>
      </c>
      <c r="C41" s="19">
        <f>C39+C40</f>
        <v>267.04825</v>
      </c>
      <c r="D41" s="19">
        <f>D39+D40</f>
        <v>268.56457699999999</v>
      </c>
      <c r="E41" s="19">
        <f>E39+E40</f>
        <v>264.33749999999998</v>
      </c>
      <c r="F41" s="19">
        <f>F39+F40</f>
        <v>265</v>
      </c>
      <c r="G41" s="19"/>
      <c r="H41" s="19"/>
      <c r="I41" s="19"/>
      <c r="J41" s="19"/>
    </row>
    <row r="42" spans="1:13" s="16" customFormat="1" x14ac:dyDescent="0.2">
      <c r="A42" s="18" t="s">
        <v>11</v>
      </c>
      <c r="B42" s="17">
        <v>767</v>
      </c>
      <c r="C42" s="17">
        <v>767</v>
      </c>
      <c r="D42" s="17">
        <v>767</v>
      </c>
      <c r="E42" s="17">
        <v>767</v>
      </c>
      <c r="F42" s="17">
        <v>767</v>
      </c>
      <c r="G42" s="17"/>
      <c r="H42" s="17"/>
      <c r="I42" s="17"/>
      <c r="J42" s="17"/>
    </row>
    <row r="43" spans="1:13" x14ac:dyDescent="0.2">
      <c r="B43" s="16"/>
      <c r="C43" s="16"/>
      <c r="D43" s="16"/>
      <c r="E43" s="16"/>
      <c r="F43" s="16"/>
      <c r="G43" s="16"/>
      <c r="H43" s="16"/>
    </row>
    <row r="44" spans="1:13" x14ac:dyDescent="0.2">
      <c r="A44" s="15" t="s">
        <v>10</v>
      </c>
      <c r="B44" s="27">
        <v>36.539589999999997</v>
      </c>
      <c r="C44" s="27">
        <v>49.082444000000002</v>
      </c>
      <c r="D44" s="27">
        <v>36.254173999999999</v>
      </c>
      <c r="E44" s="27">
        <v>32.50329</v>
      </c>
      <c r="F44" s="27">
        <v>27</v>
      </c>
      <c r="G44" s="27"/>
      <c r="H44" s="27"/>
      <c r="I44" s="27"/>
      <c r="J44" s="27"/>
    </row>
    <row r="46" spans="1:13" x14ac:dyDescent="0.2">
      <c r="A46" s="1" t="s">
        <v>9</v>
      </c>
      <c r="B46" s="13">
        <f>SUM(B12:E12)</f>
        <v>281.73719799999998</v>
      </c>
      <c r="C46" s="13">
        <f>SUM(C12:F12)</f>
        <v>293.10310099999998</v>
      </c>
      <c r="D46" s="13">
        <f>SUM(D12:G12)</f>
        <v>290.91894000000002</v>
      </c>
      <c r="E46" s="12">
        <v>291.5</v>
      </c>
      <c r="F46" s="12">
        <v>286.89999999999998</v>
      </c>
      <c r="G46" s="11"/>
      <c r="H46" s="11"/>
      <c r="I46" s="11"/>
      <c r="J46" s="11"/>
    </row>
    <row r="47" spans="1:13" x14ac:dyDescent="0.2">
      <c r="A47" s="1" t="s">
        <v>8</v>
      </c>
      <c r="B47" s="13">
        <f>B27</f>
        <v>51.234361000000007</v>
      </c>
      <c r="C47" s="13">
        <f>C27</f>
        <v>59.026707999999999</v>
      </c>
      <c r="D47" s="13">
        <f>D27</f>
        <v>62.336562999999998</v>
      </c>
      <c r="E47" s="13">
        <f>E27</f>
        <v>61.3</v>
      </c>
      <c r="F47" s="13">
        <f>F27</f>
        <v>57.9</v>
      </c>
      <c r="G47" s="11"/>
      <c r="H47" s="11"/>
      <c r="I47" s="11"/>
      <c r="J47" s="11"/>
    </row>
    <row r="48" spans="1:13" x14ac:dyDescent="0.2">
      <c r="A48" s="1" t="s">
        <v>7</v>
      </c>
      <c r="B48" s="13">
        <f>C48+B37-F37</f>
        <v>42.870855000000006</v>
      </c>
      <c r="C48" s="13">
        <f>D48+C37-G37</f>
        <v>32.722198000000006</v>
      </c>
      <c r="D48" s="13">
        <f>E48+D37-H37</f>
        <v>30.057680000000005</v>
      </c>
      <c r="E48" s="13">
        <f>F48+E37-I37</f>
        <v>34.532165000000006</v>
      </c>
      <c r="F48" s="12">
        <v>27.701500000000006</v>
      </c>
      <c r="G48" s="11"/>
      <c r="H48" s="11"/>
      <c r="I48" s="11"/>
      <c r="J48" s="11"/>
    </row>
    <row r="50" spans="1:10" s="10" customFormat="1" x14ac:dyDescent="0.2">
      <c r="A50" s="10" t="s">
        <v>6</v>
      </c>
      <c r="B50" s="10">
        <f>+SUM(B39:B40)/B47</f>
        <v>5.3191847361968652</v>
      </c>
      <c r="C50" s="10">
        <f>+SUM(C39:C40)/C47</f>
        <v>4.5241935227016219</v>
      </c>
      <c r="D50" s="10">
        <f>+SUM(D39:D40)/D47</f>
        <v>4.308299400465823</v>
      </c>
      <c r="E50" s="10">
        <f>+SUM(E39:E40)/E47</f>
        <v>4.3121941272430666</v>
      </c>
      <c r="F50" s="10">
        <f>+SUM(F39:F40)/F47</f>
        <v>4.5768566493955092</v>
      </c>
    </row>
    <row r="51" spans="1:10" s="10" customFormat="1" x14ac:dyDescent="0.2">
      <c r="A51" s="10" t="s">
        <v>5</v>
      </c>
      <c r="B51" s="10">
        <f>+B41/B47</f>
        <v>5.3191847361968652</v>
      </c>
      <c r="C51" s="10">
        <f>+C41/C47</f>
        <v>4.5241935227016219</v>
      </c>
      <c r="D51" s="10">
        <f>+D41/D47</f>
        <v>4.308299400465823</v>
      </c>
      <c r="E51" s="10">
        <f>+E41/E47</f>
        <v>4.3121941272430666</v>
      </c>
      <c r="F51" s="10">
        <f>+F41/F47</f>
        <v>4.5768566493955092</v>
      </c>
    </row>
    <row r="52" spans="1:10" s="10" customFormat="1" x14ac:dyDescent="0.2">
      <c r="A52" s="10" t="s">
        <v>4</v>
      </c>
      <c r="B52" s="10">
        <f>+(B41-B44)/B47</f>
        <v>4.6059994970953184</v>
      </c>
      <c r="C52" s="10">
        <f>+(C41-C44)/C47</f>
        <v>3.6926641072376931</v>
      </c>
      <c r="D52" s="10">
        <f>+(D41-D44)/D47</f>
        <v>3.7267117694634524</v>
      </c>
      <c r="E52" s="10">
        <f>+(E41-E44)/E47</f>
        <v>3.7819610114192495</v>
      </c>
      <c r="F52" s="10">
        <f>+(F41-F44)/F47</f>
        <v>4.1105354058721932</v>
      </c>
    </row>
    <row r="53" spans="1:10" s="6" customFormat="1" x14ac:dyDescent="0.2">
      <c r="A53" s="6" t="s">
        <v>3</v>
      </c>
      <c r="B53" s="6">
        <f>+B48/B41</f>
        <v>0.15730978854562538</v>
      </c>
      <c r="C53" s="6">
        <f>+C48/C41</f>
        <v>0.12253290557043534</v>
      </c>
      <c r="D53" s="6">
        <f>+D48/D41</f>
        <v>0.11191974882078363</v>
      </c>
      <c r="E53" s="6">
        <f>+E48/E41</f>
        <v>0.13063664822433446</v>
      </c>
      <c r="F53" s="6">
        <f>+F48/F41</f>
        <v>0.10453396226415097</v>
      </c>
    </row>
    <row r="54" spans="1:10" s="6" customFormat="1" x14ac:dyDescent="0.2">
      <c r="A54" s="8" t="s">
        <v>2</v>
      </c>
      <c r="B54" s="9"/>
      <c r="C54" s="9"/>
      <c r="D54" s="9"/>
      <c r="E54" s="9"/>
      <c r="F54" s="9"/>
      <c r="G54" s="9"/>
      <c r="H54" s="9"/>
      <c r="I54" s="9"/>
      <c r="J54" s="9"/>
    </row>
    <row r="55" spans="1:10" s="6" customFormat="1" x14ac:dyDescent="0.2">
      <c r="A55" s="6" t="s">
        <v>1</v>
      </c>
      <c r="B55" s="7">
        <f>IF(B42=0,IF(B54="","","*"&amp;TEXT(B54,"0.0x")),(B41+B42-B44)/B47)</f>
        <v>19.576421398131618</v>
      </c>
      <c r="C55" s="7">
        <f>IF(C42=0,IF(C54="","","*"&amp;TEXT(C54,"0.0x")),(C41+C42-C44)/C47)</f>
        <v>16.686781956398452</v>
      </c>
      <c r="D55" s="7">
        <f>IF(D42=0,IF(D54="","","*"&amp;TEXT(D54,"0.0x")),(D41+D42-D44)/D47)</f>
        <v>16.030887089491927</v>
      </c>
      <c r="E55" s="7">
        <f>IF(E42=0,IF(E54="","","*"&amp;TEXT(E54,"0.0x")),(E41+E42-E44)/E47)</f>
        <v>16.294195921696577</v>
      </c>
      <c r="F55" s="7">
        <f>IF(F42=0,IF(F54="","","*"&amp;TEXT(F54,"0.0x")),(F41+F42-F44)/F47)</f>
        <v>17.357512953367877</v>
      </c>
      <c r="G55" s="7"/>
      <c r="H55" s="7"/>
      <c r="I55" s="7"/>
      <c r="J55" s="7"/>
    </row>
    <row r="56" spans="1:10" x14ac:dyDescent="0.2">
      <c r="J56" s="3"/>
    </row>
    <row r="57" spans="1:10" ht="80.25" customHeight="1" x14ac:dyDescent="0.2">
      <c r="A57" s="5" t="s">
        <v>0</v>
      </c>
      <c r="B57" s="4" t="s">
        <v>235</v>
      </c>
      <c r="C57" s="4" t="s">
        <v>235</v>
      </c>
      <c r="D57" s="4" t="s">
        <v>415</v>
      </c>
      <c r="E57" s="4" t="s">
        <v>415</v>
      </c>
      <c r="F57" s="4" t="s">
        <v>104</v>
      </c>
      <c r="G57" s="4"/>
      <c r="H57" s="4"/>
      <c r="I57" s="4"/>
      <c r="J57" s="4"/>
    </row>
    <row r="58" spans="1:10" x14ac:dyDescent="0.2">
      <c r="A58" s="2"/>
      <c r="B58" s="3"/>
      <c r="C58" s="3"/>
      <c r="D58" s="3"/>
      <c r="E58" s="3"/>
      <c r="F58" s="3"/>
    </row>
    <row r="59" spans="1:10" x14ac:dyDescent="0.2">
      <c r="A59" s="2"/>
    </row>
  </sheetData>
  <pageMargins left="0.7" right="0.7" top="0.75" bottom="0.75" header="0.3" footer="0.3"/>
  <pageSetup orientation="portrait" r:id="rId1"/>
  <ignoredErrors>
    <ignoredError sqref="F24:G25 D24 D46 B46:C47" formulaRange="1"/>
  </ignoredErrors>
  <legacyDrawing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2:P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6" width="10.7109375" style="1" customWidth="1"/>
    <col min="17" max="16384" width="9.140625" style="1"/>
  </cols>
  <sheetData>
    <row r="2" spans="1:16" x14ac:dyDescent="0.2">
      <c r="A2" s="34" t="s">
        <v>45</v>
      </c>
      <c r="B2" s="1" t="s">
        <v>409</v>
      </c>
    </row>
    <row r="3" spans="1:16" s="35" customFormat="1" x14ac:dyDescent="0.2">
      <c r="A3" s="36" t="s">
        <v>43</v>
      </c>
      <c r="B3" s="35" t="s">
        <v>411</v>
      </c>
    </row>
    <row r="4" spans="1:16" x14ac:dyDescent="0.2">
      <c r="A4" s="34" t="s">
        <v>41</v>
      </c>
      <c r="B4" s="1" t="s">
        <v>40</v>
      </c>
    </row>
    <row r="5" spans="1:16" x14ac:dyDescent="0.2">
      <c r="A5" s="34" t="s">
        <v>39</v>
      </c>
    </row>
    <row r="6" spans="1:16" x14ac:dyDescent="0.2">
      <c r="A6" s="34" t="s">
        <v>38</v>
      </c>
      <c r="B6" s="1">
        <v>3</v>
      </c>
    </row>
    <row r="7" spans="1:16" x14ac:dyDescent="0.2">
      <c r="A7" s="34" t="s">
        <v>37</v>
      </c>
      <c r="B7" s="1" t="s">
        <v>413</v>
      </c>
    </row>
    <row r="8" spans="1:16" x14ac:dyDescent="0.2">
      <c r="A8" s="34" t="s">
        <v>281</v>
      </c>
      <c r="B8" s="1" t="s">
        <v>412</v>
      </c>
    </row>
    <row r="9" spans="1:16" x14ac:dyDescent="0.2">
      <c r="A9" s="22"/>
    </row>
    <row r="10" spans="1:16" x14ac:dyDescent="0.2">
      <c r="A10" s="22" t="s">
        <v>36</v>
      </c>
      <c r="B10" s="33">
        <v>44227</v>
      </c>
      <c r="C10" s="33">
        <v>44135</v>
      </c>
      <c r="D10" s="33">
        <v>44043</v>
      </c>
      <c r="E10" s="33">
        <v>43951</v>
      </c>
      <c r="F10" s="33">
        <v>43861</v>
      </c>
      <c r="G10" s="33">
        <v>43769</v>
      </c>
      <c r="H10" s="33">
        <v>43677</v>
      </c>
      <c r="I10" s="33">
        <f>EOMONTH(H10,-3)</f>
        <v>43585</v>
      </c>
      <c r="J10" s="33">
        <f t="shared" ref="J10:P10" si="0">EOMONTH(I10,-3)</f>
        <v>43496</v>
      </c>
      <c r="K10" s="33">
        <f t="shared" si="0"/>
        <v>43404</v>
      </c>
      <c r="L10" s="33">
        <f t="shared" si="0"/>
        <v>43312</v>
      </c>
      <c r="M10" s="33">
        <f t="shared" si="0"/>
        <v>43220</v>
      </c>
      <c r="N10" s="33">
        <f t="shared" si="0"/>
        <v>43131</v>
      </c>
      <c r="O10" s="33">
        <f t="shared" si="0"/>
        <v>43039</v>
      </c>
      <c r="P10" s="33">
        <f t="shared" si="0"/>
        <v>42947</v>
      </c>
    </row>
    <row r="12" spans="1:16" x14ac:dyDescent="0.2">
      <c r="A12" s="15" t="s">
        <v>35</v>
      </c>
      <c r="B12" s="19">
        <v>534.4</v>
      </c>
      <c r="C12" s="19">
        <v>546.44299999999998</v>
      </c>
      <c r="D12" s="19">
        <v>482.60500000000002</v>
      </c>
      <c r="E12" s="19">
        <v>298.74300000000005</v>
      </c>
      <c r="F12" s="19">
        <v>270.19799999999998</v>
      </c>
      <c r="G12" s="19">
        <v>282.77699999999999</v>
      </c>
      <c r="H12" s="19">
        <v>243.56299999999999</v>
      </c>
      <c r="I12" s="19">
        <v>262.25300000000004</v>
      </c>
      <c r="J12" s="19">
        <v>248.6</v>
      </c>
      <c r="K12" s="19">
        <v>265.46699999999998</v>
      </c>
      <c r="L12" s="19">
        <v>226.815</v>
      </c>
      <c r="M12" s="19">
        <v>223.18899999999996</v>
      </c>
      <c r="N12" s="19">
        <v>209.131</v>
      </c>
      <c r="O12" s="19">
        <v>191.791</v>
      </c>
      <c r="P12" s="19">
        <v>164.46700000000001</v>
      </c>
    </row>
    <row r="13" spans="1:16" s="28" customFormat="1" x14ac:dyDescent="0.2">
      <c r="A13" s="28" t="s">
        <v>34</v>
      </c>
      <c r="B13" s="28">
        <f t="shared" ref="B13:J13" si="1">+B12/F12-1</f>
        <v>0.97780886609079265</v>
      </c>
      <c r="C13" s="28">
        <f t="shared" si="1"/>
        <v>0.93241670998702153</v>
      </c>
      <c r="D13" s="28">
        <f t="shared" si="1"/>
        <v>0.98143806735834271</v>
      </c>
      <c r="E13" s="28">
        <f t="shared" si="1"/>
        <v>0.13914044834568151</v>
      </c>
      <c r="F13" s="28">
        <f t="shared" si="1"/>
        <v>8.6878519710378077E-2</v>
      </c>
      <c r="G13" s="28">
        <f t="shared" si="1"/>
        <v>6.5205844794268275E-2</v>
      </c>
      <c r="H13" s="28">
        <f t="shared" si="1"/>
        <v>7.383991358596198E-2</v>
      </c>
      <c r="I13" s="28">
        <f t="shared" si="1"/>
        <v>0.1750265470072454</v>
      </c>
      <c r="J13" s="28">
        <f t="shared" si="1"/>
        <v>0.18872859595181968</v>
      </c>
      <c r="K13" s="28">
        <f t="shared" ref="K13:L13" si="2">+K12/O12-1</f>
        <v>0.38414732703828647</v>
      </c>
      <c r="L13" s="28">
        <f t="shared" si="2"/>
        <v>0.37909124626824831</v>
      </c>
    </row>
    <row r="14" spans="1:16"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1"/>
      <c r="N14" s="31"/>
      <c r="O14" s="31"/>
      <c r="P14" s="31"/>
    </row>
    <row r="16" spans="1:16" s="22" customFormat="1" x14ac:dyDescent="0.2">
      <c r="A16" s="30" t="s">
        <v>31</v>
      </c>
      <c r="B16" s="29">
        <v>73.5</v>
      </c>
      <c r="C16" s="29">
        <v>80.265000000000001</v>
      </c>
      <c r="D16" s="29">
        <v>71.061999999999998</v>
      </c>
      <c r="E16" s="29">
        <v>194.01725800000008</v>
      </c>
      <c r="F16" s="29">
        <v>26.916000000000004</v>
      </c>
      <c r="G16" s="29">
        <v>34.470999999999997</v>
      </c>
      <c r="H16" s="29">
        <v>23.4</v>
      </c>
      <c r="I16" s="29">
        <v>35.979722999999986</v>
      </c>
      <c r="J16" s="29">
        <v>23.6</v>
      </c>
      <c r="K16" s="29">
        <v>32.052999999999997</v>
      </c>
      <c r="L16" s="29">
        <v>21.846</v>
      </c>
      <c r="M16" s="29">
        <v>39.652000000000058</v>
      </c>
      <c r="N16" s="29">
        <v>21.094000000000001</v>
      </c>
      <c r="O16" s="29">
        <v>27.975999999999999</v>
      </c>
      <c r="P16" s="29">
        <v>11.878</v>
      </c>
    </row>
    <row r="17" spans="1:16" s="28" customFormat="1" x14ac:dyDescent="0.2">
      <c r="A17" s="28" t="s">
        <v>30</v>
      </c>
      <c r="B17" s="28">
        <f t="shared" ref="B17:C17" si="3">+B16/B12</f>
        <v>0.1375374251497006</v>
      </c>
      <c r="C17" s="28">
        <f t="shared" si="3"/>
        <v>0.14688631751161604</v>
      </c>
      <c r="D17" s="28">
        <f t="shared" ref="D17:J17" si="4">+D16/D12</f>
        <v>0.14724671315050611</v>
      </c>
      <c r="E17" s="28">
        <f t="shared" si="4"/>
        <v>0.64944536943125042</v>
      </c>
      <c r="F17" s="28">
        <f t="shared" si="4"/>
        <v>9.9615837274887334E-2</v>
      </c>
      <c r="G17" s="28">
        <f t="shared" si="4"/>
        <v>0.12190171053515667</v>
      </c>
      <c r="H17" s="28">
        <f t="shared" si="4"/>
        <v>9.6073705776328913E-2</v>
      </c>
      <c r="I17" s="28">
        <f t="shared" si="4"/>
        <v>0.1371947051130015</v>
      </c>
      <c r="J17" s="28">
        <f t="shared" si="4"/>
        <v>9.493161705551087E-2</v>
      </c>
      <c r="K17" s="28">
        <f t="shared" ref="K17" si="5">+K16/K12</f>
        <v>0.12074193779264465</v>
      </c>
      <c r="L17" s="28">
        <f t="shared" ref="L17:O17" si="6">+L16/L12</f>
        <v>9.6316381191720132E-2</v>
      </c>
      <c r="M17" s="28">
        <f t="shared" si="6"/>
        <v>0.1776610854477598</v>
      </c>
      <c r="N17" s="28">
        <f t="shared" si="6"/>
        <v>0.10086500805715079</v>
      </c>
      <c r="O17" s="28">
        <f t="shared" si="6"/>
        <v>0.1458671157666418</v>
      </c>
      <c r="P17" s="28">
        <f t="shared" ref="P17" si="7">+P16/P12</f>
        <v>7.2221175068554785E-2</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row>
    <row r="20" spans="1:16"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row>
    <row r="21" spans="1:16"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row>
    <row r="22" spans="1:16" s="22" customFormat="1" x14ac:dyDescent="0.2">
      <c r="A22" s="22" t="s">
        <v>23</v>
      </c>
      <c r="B22" s="20">
        <f t="shared" ref="B22:C22" si="8">SUM(B16,B19:B21)</f>
        <v>73.5</v>
      </c>
      <c r="C22" s="20">
        <f t="shared" si="8"/>
        <v>80.265000000000001</v>
      </c>
      <c r="D22" s="20">
        <f t="shared" ref="D22:J22" si="9">SUM(D16,D19:D21)</f>
        <v>71.061999999999998</v>
      </c>
      <c r="E22" s="20">
        <f t="shared" si="9"/>
        <v>194.01725800000008</v>
      </c>
      <c r="F22" s="20">
        <f t="shared" si="9"/>
        <v>26.916000000000004</v>
      </c>
      <c r="G22" s="20">
        <f t="shared" si="9"/>
        <v>34.470999999999997</v>
      </c>
      <c r="H22" s="20">
        <f t="shared" si="9"/>
        <v>23.4</v>
      </c>
      <c r="I22" s="20">
        <f t="shared" si="9"/>
        <v>35.979722999999986</v>
      </c>
      <c r="J22" s="20">
        <f t="shared" si="9"/>
        <v>23.6</v>
      </c>
      <c r="K22" s="20">
        <f t="shared" ref="K22" si="10">SUM(K16,K19:K21)</f>
        <v>32.052999999999997</v>
      </c>
      <c r="L22" s="20">
        <f t="shared" ref="L22:O22" si="11">SUM(L16,L19:L21)</f>
        <v>21.846</v>
      </c>
      <c r="M22" s="20">
        <f t="shared" si="11"/>
        <v>39.652000000000058</v>
      </c>
      <c r="N22" s="20">
        <f t="shared" si="11"/>
        <v>21.094000000000001</v>
      </c>
      <c r="O22" s="20">
        <f t="shared" si="11"/>
        <v>27.975999999999999</v>
      </c>
      <c r="P22" s="20">
        <f t="shared" ref="P22" si="12">SUM(P16,P19:P21)</f>
        <v>11.878</v>
      </c>
    </row>
    <row r="23" spans="1:16" s="22" customFormat="1" x14ac:dyDescent="0.2">
      <c r="B23" s="20"/>
      <c r="C23" s="20"/>
      <c r="D23" s="20"/>
      <c r="E23" s="20"/>
      <c r="F23" s="20"/>
      <c r="G23" s="20"/>
      <c r="H23" s="20"/>
      <c r="I23" s="20"/>
      <c r="J23" s="20"/>
      <c r="K23" s="20"/>
      <c r="L23" s="20"/>
      <c r="M23" s="20"/>
      <c r="N23" s="20"/>
      <c r="O23" s="20"/>
      <c r="P23" s="20"/>
    </row>
    <row r="24" spans="1:16" s="22" customFormat="1" x14ac:dyDescent="0.2">
      <c r="A24" s="22" t="s">
        <v>27</v>
      </c>
      <c r="B24" s="61">
        <v>320.62224099999997</v>
      </c>
      <c r="C24" s="61">
        <v>291.06550600000003</v>
      </c>
      <c r="D24" s="61">
        <v>281.20152999999999</v>
      </c>
      <c r="E24" s="61">
        <v>278.804258</v>
      </c>
      <c r="F24" s="61">
        <v>177.98873800000001</v>
      </c>
      <c r="G24" s="61">
        <v>119.347533</v>
      </c>
      <c r="H24" s="61">
        <v>113.73482</v>
      </c>
      <c r="I24" s="20"/>
      <c r="J24" s="20"/>
      <c r="K24" s="20">
        <f t="shared" ref="K24:M24" si="13">SUM(K22:N22)</f>
        <v>114.64500000000007</v>
      </c>
      <c r="L24" s="20">
        <f t="shared" si="13"/>
        <v>110.56800000000007</v>
      </c>
      <c r="M24" s="20">
        <f t="shared" si="13"/>
        <v>100.60000000000007</v>
      </c>
      <c r="N24" s="20"/>
      <c r="O24" s="20"/>
      <c r="P24" s="20"/>
    </row>
    <row r="25" spans="1:16" s="23" customFormat="1" x14ac:dyDescent="0.2">
      <c r="A25" s="15" t="s">
        <v>26</v>
      </c>
      <c r="B25" s="27">
        <v>0</v>
      </c>
      <c r="C25" s="27">
        <v>0</v>
      </c>
      <c r="D25" s="27">
        <v>0</v>
      </c>
      <c r="E25" s="27">
        <v>0</v>
      </c>
      <c r="F25" s="27">
        <v>0</v>
      </c>
      <c r="G25" s="27">
        <v>0</v>
      </c>
      <c r="H25" s="27">
        <f>I47+H22-L22-H26-H24</f>
        <v>5.7191800000000086</v>
      </c>
      <c r="I25" s="27"/>
      <c r="J25" s="27"/>
      <c r="K25" s="27">
        <v>0</v>
      </c>
      <c r="L25" s="27">
        <v>0</v>
      </c>
      <c r="M25" s="27">
        <v>0</v>
      </c>
      <c r="N25" s="27"/>
      <c r="O25" s="27"/>
      <c r="P25" s="27"/>
    </row>
    <row r="26" spans="1:16" s="23" customFormat="1" x14ac:dyDescent="0.2">
      <c r="A26" s="15" t="s">
        <v>25</v>
      </c>
      <c r="B26" s="21">
        <v>0</v>
      </c>
      <c r="C26" s="21">
        <v>0</v>
      </c>
      <c r="D26" s="21">
        <v>0</v>
      </c>
      <c r="E26" s="21">
        <v>0</v>
      </c>
      <c r="F26" s="21">
        <v>0</v>
      </c>
      <c r="G26" s="21">
        <v>0</v>
      </c>
      <c r="H26" s="21">
        <v>0</v>
      </c>
      <c r="I26" s="21"/>
      <c r="J26" s="21"/>
      <c r="K26" s="21">
        <v>0</v>
      </c>
      <c r="L26" s="21">
        <v>0</v>
      </c>
      <c r="M26" s="21">
        <v>0</v>
      </c>
      <c r="N26" s="26"/>
      <c r="O26" s="26"/>
      <c r="P26" s="26"/>
    </row>
    <row r="27" spans="1:16" s="24" customFormat="1" x14ac:dyDescent="0.2">
      <c r="A27" s="22" t="s">
        <v>24</v>
      </c>
      <c r="B27" s="20">
        <f t="shared" ref="B27" si="14">SUM(B24:B26)</f>
        <v>320.62224099999997</v>
      </c>
      <c r="C27" s="20">
        <f t="shared" ref="C27:H27" si="15">SUM(C24:C26)</f>
        <v>291.06550600000003</v>
      </c>
      <c r="D27" s="20">
        <f t="shared" si="15"/>
        <v>281.20152999999999</v>
      </c>
      <c r="E27" s="20">
        <f t="shared" si="15"/>
        <v>278.804258</v>
      </c>
      <c r="F27" s="20">
        <f t="shared" si="15"/>
        <v>177.98873800000001</v>
      </c>
      <c r="G27" s="20">
        <f t="shared" si="15"/>
        <v>119.347533</v>
      </c>
      <c r="H27" s="20">
        <f t="shared" si="15"/>
        <v>119.45400000000001</v>
      </c>
      <c r="I27" s="20"/>
      <c r="J27" s="20"/>
      <c r="K27" s="20">
        <f t="shared" ref="K27" si="16">SUM(K24:K26)</f>
        <v>114.64500000000007</v>
      </c>
      <c r="L27" s="20">
        <f t="shared" ref="L27:M27" si="17">SUM(L24:L26)</f>
        <v>110.56800000000007</v>
      </c>
      <c r="M27" s="20">
        <f t="shared" si="17"/>
        <v>100.60000000000007</v>
      </c>
      <c r="N27" s="25"/>
      <c r="O27" s="25"/>
      <c r="P27" s="25"/>
    </row>
    <row r="28" spans="1:16" s="23" customFormat="1" x14ac:dyDescent="0.2"/>
    <row r="29" spans="1:16" s="22" customFormat="1" x14ac:dyDescent="0.2">
      <c r="A29" s="22" t="s">
        <v>23</v>
      </c>
      <c r="B29" s="20">
        <f t="shared" ref="B29:D29" si="18">B22</f>
        <v>73.5</v>
      </c>
      <c r="C29" s="20">
        <f t="shared" si="18"/>
        <v>80.265000000000001</v>
      </c>
      <c r="D29" s="20">
        <f t="shared" si="18"/>
        <v>71.061999999999998</v>
      </c>
      <c r="E29" s="20">
        <f t="shared" ref="E29" si="19">E22</f>
        <v>194.01725800000008</v>
      </c>
      <c r="F29" s="20">
        <f t="shared" ref="F29:O29" si="20">F22</f>
        <v>26.916000000000004</v>
      </c>
      <c r="G29" s="20">
        <f t="shared" si="20"/>
        <v>34.470999999999997</v>
      </c>
      <c r="H29" s="20">
        <f t="shared" si="20"/>
        <v>23.4</v>
      </c>
      <c r="I29" s="20">
        <f t="shared" si="20"/>
        <v>35.979722999999986</v>
      </c>
      <c r="J29" s="20"/>
      <c r="K29" s="20">
        <f t="shared" si="20"/>
        <v>32.052999999999997</v>
      </c>
      <c r="L29" s="20">
        <f t="shared" si="20"/>
        <v>21.846</v>
      </c>
      <c r="M29" s="20">
        <f t="shared" si="20"/>
        <v>39.652000000000058</v>
      </c>
      <c r="N29" s="20">
        <f t="shared" si="20"/>
        <v>21.094000000000001</v>
      </c>
      <c r="O29" s="20">
        <f t="shared" si="20"/>
        <v>27.975999999999999</v>
      </c>
      <c r="P29" s="20">
        <f t="shared" ref="P29" si="21">P22</f>
        <v>11.878</v>
      </c>
    </row>
    <row r="30" spans="1:16" s="11" customFormat="1" x14ac:dyDescent="0.2">
      <c r="A30" s="19" t="s">
        <v>22</v>
      </c>
      <c r="B30" s="19">
        <v>-20.3</v>
      </c>
      <c r="C30" s="19">
        <v>-23.861000000000001</v>
      </c>
      <c r="D30" s="19">
        <v>-22.35</v>
      </c>
      <c r="E30" s="19">
        <v>-16.441000000000003</v>
      </c>
      <c r="F30" s="19">
        <v>-12.3</v>
      </c>
      <c r="G30" s="19">
        <v>-13.167</v>
      </c>
      <c r="H30" s="19">
        <v>-10.419</v>
      </c>
      <c r="I30" s="19">
        <v>-9.2759999999999998</v>
      </c>
      <c r="J30" s="19"/>
      <c r="K30" s="19">
        <v>-12.468</v>
      </c>
      <c r="L30" s="19">
        <v>-4.1989999999999998</v>
      </c>
      <c r="M30" s="19">
        <v>-4.0449999999999999</v>
      </c>
      <c r="N30" s="19">
        <v>-3.9390000000000001</v>
      </c>
      <c r="O30" s="19">
        <v>-3.2879999999999998</v>
      </c>
      <c r="P30" s="19">
        <v>-3.274</v>
      </c>
    </row>
    <row r="31" spans="1:16" s="11" customFormat="1" x14ac:dyDescent="0.2">
      <c r="A31" s="19" t="s">
        <v>21</v>
      </c>
      <c r="B31" s="19">
        <v>7.3</v>
      </c>
      <c r="C31" s="19">
        <v>-1.95</v>
      </c>
      <c r="D31" s="19">
        <v>6.2919999999999998</v>
      </c>
      <c r="E31" s="19">
        <v>7.77</v>
      </c>
      <c r="F31" s="19">
        <v>1.3</v>
      </c>
      <c r="G31" s="19">
        <v>0.747</v>
      </c>
      <c r="H31" s="19">
        <v>0.51</v>
      </c>
      <c r="I31" s="19">
        <v>0.40000000000000013</v>
      </c>
      <c r="J31" s="19"/>
      <c r="K31" s="19">
        <v>-2.2000000000000002</v>
      </c>
      <c r="L31" s="19">
        <v>0</v>
      </c>
      <c r="M31" s="19">
        <v>-0.69599999999999995</v>
      </c>
      <c r="N31" s="19">
        <v>0</v>
      </c>
      <c r="O31" s="19">
        <v>0</v>
      </c>
      <c r="P31" s="19">
        <v>0</v>
      </c>
    </row>
    <row r="32" spans="1:16" s="11" customFormat="1" x14ac:dyDescent="0.2">
      <c r="A32" s="19" t="s">
        <v>20</v>
      </c>
      <c r="B32" s="19">
        <v>18.198</v>
      </c>
      <c r="C32" s="19">
        <v>31.539000000000001</v>
      </c>
      <c r="D32" s="19">
        <v>-45.637</v>
      </c>
      <c r="E32" s="19">
        <v>28.807000000000002</v>
      </c>
      <c r="F32" s="19">
        <v>19.741</v>
      </c>
      <c r="G32" s="19">
        <v>-17.125999999999998</v>
      </c>
      <c r="H32" s="19">
        <v>10.058999999999999</v>
      </c>
      <c r="I32" s="19">
        <v>-12.457000000000001</v>
      </c>
      <c r="J32" s="19"/>
      <c r="K32" s="19"/>
      <c r="L32" s="19">
        <v>-21.777000000000001</v>
      </c>
      <c r="M32" s="19">
        <v>-11.22</v>
      </c>
      <c r="N32" s="19">
        <v>2.359</v>
      </c>
      <c r="O32" s="19">
        <v>-10.374000000000001</v>
      </c>
      <c r="P32" s="19">
        <v>0.51600000000000001</v>
      </c>
    </row>
    <row r="33" spans="1:16" s="11" customFormat="1" x14ac:dyDescent="0.2">
      <c r="A33" s="19" t="s">
        <v>19</v>
      </c>
      <c r="B33" s="19">
        <v>0</v>
      </c>
      <c r="C33" s="19">
        <v>0</v>
      </c>
      <c r="D33" s="19">
        <v>0</v>
      </c>
      <c r="E33" s="19">
        <v>0</v>
      </c>
      <c r="F33" s="19">
        <v>0</v>
      </c>
      <c r="G33" s="19">
        <v>0</v>
      </c>
      <c r="H33" s="19">
        <v>0</v>
      </c>
      <c r="I33" s="19">
        <v>0</v>
      </c>
      <c r="J33" s="19"/>
      <c r="K33" s="19"/>
      <c r="L33" s="19">
        <v>0</v>
      </c>
      <c r="M33" s="19">
        <v>0</v>
      </c>
      <c r="N33" s="19">
        <v>0</v>
      </c>
      <c r="O33" s="19">
        <v>0</v>
      </c>
      <c r="P33" s="19">
        <v>0</v>
      </c>
    </row>
    <row r="34" spans="1:16" s="11" customFormat="1" x14ac:dyDescent="0.2">
      <c r="A34" s="19" t="s">
        <v>18</v>
      </c>
      <c r="B34" s="21">
        <v>0</v>
      </c>
      <c r="C34" s="21">
        <v>0</v>
      </c>
      <c r="D34" s="21">
        <v>0</v>
      </c>
      <c r="E34" s="21">
        <v>0</v>
      </c>
      <c r="F34" s="21">
        <v>0</v>
      </c>
      <c r="G34" s="21">
        <v>0</v>
      </c>
      <c r="H34" s="21">
        <v>0</v>
      </c>
      <c r="I34" s="21">
        <v>0</v>
      </c>
      <c r="J34" s="21"/>
      <c r="K34" s="21"/>
      <c r="L34" s="21">
        <v>0</v>
      </c>
      <c r="M34" s="21">
        <v>0</v>
      </c>
      <c r="N34" s="21">
        <v>0</v>
      </c>
      <c r="O34" s="21">
        <v>0</v>
      </c>
      <c r="P34" s="21">
        <v>0</v>
      </c>
    </row>
    <row r="35" spans="1:16" s="20" customFormat="1" x14ac:dyDescent="0.2">
      <c r="A35" s="20" t="s">
        <v>17</v>
      </c>
      <c r="B35" s="20">
        <v>31.7</v>
      </c>
      <c r="C35" s="20">
        <v>86.74</v>
      </c>
      <c r="D35" s="20">
        <v>-2</v>
      </c>
      <c r="E35" s="20">
        <v>38.487000000000002</v>
      </c>
      <c r="F35" s="20">
        <v>8.507000000000005</v>
      </c>
      <c r="G35" s="20">
        <v>12.989999999999998</v>
      </c>
      <c r="H35" s="20">
        <v>28.611999999999998</v>
      </c>
      <c r="I35" s="20">
        <v>9.1750000000000025</v>
      </c>
      <c r="L35" s="20">
        <v>-2.472</v>
      </c>
      <c r="M35" s="20">
        <v>9.6430000000000078</v>
      </c>
      <c r="N35" s="20">
        <v>19.209</v>
      </c>
      <c r="O35" s="20">
        <v>11.211</v>
      </c>
      <c r="P35" s="20">
        <v>11.914999999999999</v>
      </c>
    </row>
    <row r="36" spans="1:16" s="11" customFormat="1" x14ac:dyDescent="0.2">
      <c r="A36" s="19" t="s">
        <v>16</v>
      </c>
      <c r="B36" s="21">
        <v>-34.1</v>
      </c>
      <c r="C36" s="21">
        <v>-22.964000000000002</v>
      </c>
      <c r="D36" s="21">
        <v>-16.3</v>
      </c>
      <c r="E36" s="21">
        <v>-12.886000000000001</v>
      </c>
      <c r="F36" s="21">
        <v>-4.9060000000000006</v>
      </c>
      <c r="G36" s="21">
        <v>-3.3790000000000004</v>
      </c>
      <c r="H36" s="21">
        <v>-4.6559999999999997</v>
      </c>
      <c r="I36" s="21">
        <v>-13.698</v>
      </c>
      <c r="J36" s="21"/>
      <c r="K36" s="21"/>
      <c r="L36" s="21">
        <v>-2.927</v>
      </c>
      <c r="M36" s="21">
        <v>-7.1219999999999981</v>
      </c>
      <c r="N36" s="21">
        <v>-3.044</v>
      </c>
      <c r="O36" s="21">
        <v>-4.0830000000000002</v>
      </c>
      <c r="P36" s="21">
        <v>-4.8520000000000003</v>
      </c>
    </row>
    <row r="37" spans="1:16" s="20" customFormat="1" x14ac:dyDescent="0.2">
      <c r="A37" s="20" t="s">
        <v>15</v>
      </c>
      <c r="B37" s="20">
        <f t="shared" ref="B37:I37" si="22">+B35+B36</f>
        <v>-2.4000000000000021</v>
      </c>
      <c r="C37" s="20">
        <f t="shared" si="22"/>
        <v>63.775999999999996</v>
      </c>
      <c r="D37" s="20">
        <f t="shared" si="22"/>
        <v>-18.3</v>
      </c>
      <c r="E37" s="20">
        <f t="shared" si="22"/>
        <v>25.600999999999999</v>
      </c>
      <c r="F37" s="20">
        <f t="shared" si="22"/>
        <v>3.6010000000000044</v>
      </c>
      <c r="G37" s="20">
        <f t="shared" si="22"/>
        <v>9.6109999999999971</v>
      </c>
      <c r="H37" s="20">
        <f t="shared" si="22"/>
        <v>23.956</v>
      </c>
      <c r="I37" s="20">
        <f t="shared" si="22"/>
        <v>-4.5229999999999979</v>
      </c>
      <c r="L37" s="20">
        <f t="shared" ref="L37:O37" si="23">+L35+L36</f>
        <v>-5.399</v>
      </c>
      <c r="M37" s="20">
        <f t="shared" si="23"/>
        <v>2.5210000000000097</v>
      </c>
      <c r="N37" s="20">
        <f t="shared" si="23"/>
        <v>16.164999999999999</v>
      </c>
      <c r="O37" s="20">
        <f t="shared" si="23"/>
        <v>7.1280000000000001</v>
      </c>
      <c r="P37" s="20">
        <f t="shared" ref="P37" si="24">+P35+P36</f>
        <v>7.0629999999999988</v>
      </c>
    </row>
    <row r="39" spans="1:16" s="16" customFormat="1" x14ac:dyDescent="0.2">
      <c r="A39" s="18" t="s">
        <v>14</v>
      </c>
      <c r="B39" s="19">
        <v>117.151893</v>
      </c>
      <c r="C39" s="19">
        <v>3.1518929999999998</v>
      </c>
      <c r="D39" s="19">
        <v>45</v>
      </c>
      <c r="E39" s="19">
        <v>94</v>
      </c>
      <c r="F39" s="19">
        <v>0</v>
      </c>
      <c r="G39" s="19">
        <v>0</v>
      </c>
      <c r="H39" s="19">
        <v>0</v>
      </c>
      <c r="I39" s="19">
        <v>0</v>
      </c>
      <c r="J39" s="19"/>
      <c r="K39" s="19"/>
      <c r="L39" s="19"/>
      <c r="M39" s="19"/>
      <c r="N39" s="19"/>
      <c r="O39" s="19"/>
      <c r="P39" s="19"/>
    </row>
    <row r="40" spans="1:16" s="16" customFormat="1" x14ac:dyDescent="0.2">
      <c r="A40" s="18" t="s">
        <v>13</v>
      </c>
      <c r="B40" s="19">
        <f>1720.029613-B39</f>
        <v>1602.87772</v>
      </c>
      <c r="C40" s="19">
        <f>1469.069025-C39</f>
        <v>1465.917132</v>
      </c>
      <c r="D40" s="19">
        <f>1460.64116+4.535974+8.653293</f>
        <v>1473.8304269999999</v>
      </c>
      <c r="E40" s="19">
        <f>1423.5+7.8</f>
        <v>1431.3</v>
      </c>
      <c r="F40" s="19">
        <f>923.466694+7.7774449</f>
        <v>931.24413889999994</v>
      </c>
      <c r="G40" s="19">
        <f>625.798681+8.273383</f>
        <v>634.07206399999995</v>
      </c>
      <c r="H40" s="19">
        <v>609</v>
      </c>
      <c r="I40" s="19">
        <f>524+85</f>
        <v>609</v>
      </c>
      <c r="J40" s="19"/>
      <c r="K40" s="19"/>
      <c r="L40" s="19"/>
      <c r="M40" s="19"/>
      <c r="N40" s="19"/>
      <c r="O40" s="19"/>
      <c r="P40" s="19"/>
    </row>
    <row r="41" spans="1:16" s="16" customFormat="1" x14ac:dyDescent="0.2">
      <c r="A41" s="18" t="s">
        <v>12</v>
      </c>
      <c r="B41" s="19">
        <f t="shared" ref="B41:I41" si="25">B39+B40</f>
        <v>1720.0296129999999</v>
      </c>
      <c r="C41" s="19">
        <f t="shared" si="25"/>
        <v>1469.069025</v>
      </c>
      <c r="D41" s="19">
        <f t="shared" si="25"/>
        <v>1518.8304269999999</v>
      </c>
      <c r="E41" s="19">
        <f t="shared" si="25"/>
        <v>1525.3</v>
      </c>
      <c r="F41" s="19">
        <f t="shared" si="25"/>
        <v>931.24413889999994</v>
      </c>
      <c r="G41" s="19">
        <f t="shared" si="25"/>
        <v>634.07206399999995</v>
      </c>
      <c r="H41" s="19">
        <f t="shared" si="25"/>
        <v>609</v>
      </c>
      <c r="I41" s="19">
        <f t="shared" si="25"/>
        <v>609</v>
      </c>
      <c r="J41" s="19"/>
      <c r="K41" s="19"/>
      <c r="L41" s="19"/>
      <c r="M41" s="19"/>
      <c r="N41" s="19"/>
      <c r="O41" s="19"/>
      <c r="P41" s="19"/>
    </row>
    <row r="42" spans="1:16" s="16" customFormat="1" x14ac:dyDescent="0.2">
      <c r="A42" s="18" t="s">
        <v>11</v>
      </c>
      <c r="B42" s="17">
        <v>1310.5999999999999</v>
      </c>
      <c r="C42" s="17">
        <v>1310.5999999999999</v>
      </c>
      <c r="D42" s="17">
        <v>1310.5999999999999</v>
      </c>
      <c r="E42" s="17">
        <v>1310.5999999999999</v>
      </c>
      <c r="F42" s="17">
        <v>735</v>
      </c>
      <c r="G42" s="17">
        <v>735</v>
      </c>
      <c r="H42" s="17">
        <v>735</v>
      </c>
      <c r="I42" s="17">
        <v>735</v>
      </c>
      <c r="J42" s="17"/>
      <c r="K42" s="17"/>
      <c r="L42" s="17"/>
      <c r="M42" s="17"/>
      <c r="N42" s="17"/>
      <c r="O42" s="17"/>
      <c r="P42" s="17"/>
    </row>
    <row r="43" spans="1:16" x14ac:dyDescent="0.2">
      <c r="B43" s="16"/>
      <c r="C43" s="16"/>
      <c r="D43" s="16"/>
      <c r="E43" s="16"/>
      <c r="F43" s="16"/>
      <c r="G43" s="16"/>
      <c r="H43" s="16"/>
      <c r="I43" s="16"/>
      <c r="J43" s="16"/>
    </row>
    <row r="44" spans="1:16" x14ac:dyDescent="0.2">
      <c r="A44" s="15" t="s">
        <v>10</v>
      </c>
      <c r="B44" s="27">
        <v>425.9</v>
      </c>
      <c r="C44" s="27">
        <v>223.88499999999999</v>
      </c>
      <c r="D44" s="27">
        <v>85.531000000000006</v>
      </c>
      <c r="E44" s="27">
        <v>144</v>
      </c>
      <c r="F44" s="27">
        <v>186.47300000000001</v>
      </c>
      <c r="G44" s="27">
        <v>61.497999999999998</v>
      </c>
      <c r="H44" s="27">
        <v>23</v>
      </c>
      <c r="I44" s="27">
        <v>23</v>
      </c>
      <c r="J44" s="27"/>
      <c r="K44" s="27"/>
      <c r="L44" s="27"/>
      <c r="M44" s="27"/>
      <c r="N44" s="14"/>
      <c r="O44" s="14"/>
      <c r="P44" s="14"/>
    </row>
    <row r="46" spans="1:16" x14ac:dyDescent="0.2">
      <c r="A46" s="1" t="s">
        <v>9</v>
      </c>
      <c r="B46" s="13">
        <f>SUM(B12:E12)</f>
        <v>1862.1909999999998</v>
      </c>
      <c r="C46" s="13">
        <f>SUM(C12:F12)</f>
        <v>1597.989</v>
      </c>
      <c r="D46" s="13">
        <f>SUM(D12:G12)</f>
        <v>1334.3230000000001</v>
      </c>
      <c r="E46" s="13">
        <f>SUM(E12:H12)</f>
        <v>1095.2809999999999</v>
      </c>
      <c r="F46" s="13">
        <f>SUM(F12:I12)</f>
        <v>1058.7909999999999</v>
      </c>
      <c r="G46" s="13">
        <f>H46+G12-K12</f>
        <v>1013.984</v>
      </c>
      <c r="H46" s="13">
        <f>I46+H12-L12</f>
        <v>996.67399999999998</v>
      </c>
      <c r="I46" s="12">
        <v>979.92599999999993</v>
      </c>
      <c r="J46" s="11"/>
      <c r="K46" s="11"/>
      <c r="L46" s="11"/>
    </row>
    <row r="47" spans="1:16" x14ac:dyDescent="0.2">
      <c r="A47" s="1" t="s">
        <v>8</v>
      </c>
      <c r="B47" s="13">
        <f t="shared" ref="B47" si="26">B27</f>
        <v>320.62224099999997</v>
      </c>
      <c r="C47" s="13">
        <f t="shared" ref="C47:H47" si="27">C27</f>
        <v>291.06550600000003</v>
      </c>
      <c r="D47" s="13">
        <f t="shared" si="27"/>
        <v>281.20152999999999</v>
      </c>
      <c r="E47" s="13">
        <f t="shared" si="27"/>
        <v>278.804258</v>
      </c>
      <c r="F47" s="13">
        <f t="shared" si="27"/>
        <v>177.98873800000001</v>
      </c>
      <c r="G47" s="13">
        <f t="shared" si="27"/>
        <v>119.347533</v>
      </c>
      <c r="H47" s="13">
        <f t="shared" si="27"/>
        <v>119.45400000000001</v>
      </c>
      <c r="I47" s="12">
        <v>117.9</v>
      </c>
      <c r="J47" s="11"/>
      <c r="K47" s="11"/>
      <c r="L47" s="11"/>
    </row>
    <row r="48" spans="1:16" x14ac:dyDescent="0.2">
      <c r="A48" s="1" t="s">
        <v>7</v>
      </c>
      <c r="B48" s="13">
        <f>SUM(B37:E37)</f>
        <v>68.676999999999992</v>
      </c>
      <c r="C48" s="13">
        <f>SUM(C37:F37)</f>
        <v>74.677999999999997</v>
      </c>
      <c r="D48" s="13">
        <f>SUM(D37:G37)</f>
        <v>20.512999999999998</v>
      </c>
      <c r="E48" s="13">
        <f>SUM(E37:H37)</f>
        <v>62.769000000000005</v>
      </c>
      <c r="F48" s="13">
        <f>SUM(F37:I37)</f>
        <v>32.645000000000003</v>
      </c>
      <c r="G48" s="13"/>
      <c r="H48" s="13">
        <f>I48+H37-L37</f>
        <v>69.355000000000004</v>
      </c>
      <c r="I48" s="12">
        <v>40</v>
      </c>
      <c r="J48" s="11"/>
      <c r="K48" s="11"/>
      <c r="L48" s="11"/>
    </row>
    <row r="50" spans="1:16" s="10" customFormat="1" x14ac:dyDescent="0.2">
      <c r="A50" s="10" t="s">
        <v>6</v>
      </c>
      <c r="B50" s="10">
        <f t="shared" ref="B50:C50" si="28">+SUM(B39:B40)/B47</f>
        <v>5.3646609406613193</v>
      </c>
      <c r="C50" s="10">
        <f t="shared" si="28"/>
        <v>5.0472110047969752</v>
      </c>
      <c r="D50" s="10">
        <f t="shared" ref="D50:I50" si="29">+SUM(D39:D40)/D47</f>
        <v>5.401216796366648</v>
      </c>
      <c r="E50" s="10">
        <f t="shared" si="29"/>
        <v>5.4708633610610065</v>
      </c>
      <c r="F50" s="10">
        <f t="shared" si="29"/>
        <v>5.2320396748922384</v>
      </c>
      <c r="G50" s="10">
        <f t="shared" si="29"/>
        <v>5.3128208691167496</v>
      </c>
      <c r="H50" s="10">
        <f t="shared" si="29"/>
        <v>5.0981967954191569</v>
      </c>
      <c r="I50" s="10">
        <f t="shared" si="29"/>
        <v>5.1653944020356235</v>
      </c>
    </row>
    <row r="51" spans="1:16" s="10" customFormat="1" x14ac:dyDescent="0.2">
      <c r="A51" s="10" t="s">
        <v>5</v>
      </c>
      <c r="B51" s="10">
        <f t="shared" ref="B51:C51" si="30">+B41/B47</f>
        <v>5.3646609406613193</v>
      </c>
      <c r="C51" s="10">
        <f t="shared" si="30"/>
        <v>5.0472110047969752</v>
      </c>
      <c r="D51" s="10">
        <f t="shared" ref="D51:I51" si="31">+D41/D47</f>
        <v>5.401216796366648</v>
      </c>
      <c r="E51" s="10">
        <f t="shared" si="31"/>
        <v>5.4708633610610065</v>
      </c>
      <c r="F51" s="10">
        <f t="shared" si="31"/>
        <v>5.2320396748922384</v>
      </c>
      <c r="G51" s="10">
        <f t="shared" si="31"/>
        <v>5.3128208691167496</v>
      </c>
      <c r="H51" s="10">
        <f t="shared" si="31"/>
        <v>5.0981967954191569</v>
      </c>
      <c r="I51" s="10">
        <f t="shared" si="31"/>
        <v>5.1653944020356235</v>
      </c>
    </row>
    <row r="52" spans="1:16" s="10" customFormat="1" x14ac:dyDescent="0.2">
      <c r="A52" s="10" t="s">
        <v>4</v>
      </c>
      <c r="B52" s="10">
        <f t="shared" ref="B52:C52" si="32">+(B41-B44)/B47</f>
        <v>4.0363064301581009</v>
      </c>
      <c r="C52" s="10">
        <f t="shared" si="32"/>
        <v>4.2780198935699367</v>
      </c>
      <c r="D52" s="10">
        <f t="shared" ref="D52:I52" si="33">+(D41-D44)/D47</f>
        <v>5.0970541554308042</v>
      </c>
      <c r="E52" s="10">
        <f t="shared" si="33"/>
        <v>4.9543719665859616</v>
      </c>
      <c r="F52" s="10">
        <f t="shared" si="33"/>
        <v>4.1843722657329021</v>
      </c>
      <c r="G52" s="10">
        <f t="shared" si="33"/>
        <v>4.797535815005074</v>
      </c>
      <c r="H52" s="10">
        <f t="shared" si="33"/>
        <v>4.9056540593031626</v>
      </c>
      <c r="I52" s="10">
        <f t="shared" si="33"/>
        <v>4.9703138252756567</v>
      </c>
    </row>
    <row r="53" spans="1:16" s="6" customFormat="1" x14ac:dyDescent="0.2">
      <c r="A53" s="6" t="s">
        <v>3</v>
      </c>
      <c r="B53" s="6">
        <f t="shared" ref="B53:C53" si="34">+B48/B41</f>
        <v>3.9927800940715547E-2</v>
      </c>
      <c r="C53" s="6">
        <f t="shared" si="34"/>
        <v>5.08335542640687E-2</v>
      </c>
      <c r="D53" s="6">
        <f t="shared" ref="D53:I53" si="35">+D48/D41</f>
        <v>1.350578684449808E-2</v>
      </c>
      <c r="E53" s="6">
        <f t="shared" si="35"/>
        <v>4.115190454336852E-2</v>
      </c>
      <c r="F53" s="6">
        <f t="shared" si="35"/>
        <v>3.505525418775874E-2</v>
      </c>
      <c r="G53" s="6">
        <f t="shared" si="35"/>
        <v>0</v>
      </c>
      <c r="H53" s="6">
        <f t="shared" si="35"/>
        <v>0.11388341543513958</v>
      </c>
      <c r="I53" s="6">
        <f t="shared" si="35"/>
        <v>6.5681444991789822E-2</v>
      </c>
    </row>
    <row r="54" spans="1:16" s="6" customFormat="1" x14ac:dyDescent="0.2">
      <c r="A54" s="8" t="s">
        <v>2</v>
      </c>
      <c r="B54" s="9"/>
      <c r="C54" s="9"/>
      <c r="D54" s="9"/>
      <c r="E54" s="9"/>
      <c r="F54" s="9"/>
      <c r="G54" s="9"/>
      <c r="H54" s="9"/>
      <c r="I54" s="9"/>
      <c r="J54" s="9"/>
      <c r="K54" s="9"/>
      <c r="L54" s="9"/>
      <c r="M54" s="8"/>
      <c r="N54" s="8"/>
      <c r="O54" s="8"/>
      <c r="P54" s="8"/>
    </row>
    <row r="55" spans="1:16" s="6" customFormat="1" x14ac:dyDescent="0.2">
      <c r="A55" s="6" t="s">
        <v>1</v>
      </c>
      <c r="B55" s="7">
        <f t="shared" ref="B55:C55" si="36">IF(B42=0,IF(B54="","","*"&amp;TEXT(B54,"0.0x")),(B41+B42-B44)/B47)</f>
        <v>8.1239829304293334</v>
      </c>
      <c r="C55" s="7">
        <f t="shared" si="36"/>
        <v>8.7807863601673208</v>
      </c>
      <c r="D55" s="7">
        <f t="shared" ref="D55:I55" si="37">IF(D42=0,IF(D54="","","*"&amp;TEXT(D54,"0.0x")),(D41+D42-D44)/D47)</f>
        <v>9.7577684836921055</v>
      </c>
      <c r="E55" s="7">
        <f t="shared" si="37"/>
        <v>9.6551610054678569</v>
      </c>
      <c r="F55" s="7">
        <f t="shared" si="37"/>
        <v>8.3138470193546734</v>
      </c>
      <c r="G55" s="7">
        <f t="shared" si="37"/>
        <v>10.956020883984253</v>
      </c>
      <c r="H55" s="7">
        <f t="shared" si="37"/>
        <v>11.058650191705594</v>
      </c>
      <c r="I55" s="7">
        <f t="shared" si="37"/>
        <v>11.204410517387617</v>
      </c>
      <c r="J55" s="7"/>
      <c r="K55" s="7"/>
      <c r="L55" s="7"/>
      <c r="M55" s="7" t="str">
        <f t="shared" ref="M55:O55" si="38">IF(M42=0,IF(M54="","",CONCATENATE("* ",M54,"x")),(M41+M42-M44)/M47)</f>
        <v/>
      </c>
      <c r="N55" s="7" t="str">
        <f t="shared" si="38"/>
        <v/>
      </c>
      <c r="O55" s="7" t="str">
        <f t="shared" si="38"/>
        <v/>
      </c>
      <c r="P55" s="7" t="str">
        <f t="shared" ref="P55" si="39">IF(P42=0,IF(P54="","",CONCATENATE("* ",P54,"x")),(P41+P42-P44)/P47)</f>
        <v/>
      </c>
    </row>
    <row r="56" spans="1:16" x14ac:dyDescent="0.2">
      <c r="L56" s="3"/>
    </row>
    <row r="57" spans="1:16" ht="80.25" customHeight="1" x14ac:dyDescent="0.2">
      <c r="A57" s="5" t="s">
        <v>0</v>
      </c>
      <c r="B57" s="4" t="s">
        <v>104</v>
      </c>
      <c r="C57" s="4" t="s">
        <v>104</v>
      </c>
      <c r="D57" s="4" t="s">
        <v>104</v>
      </c>
      <c r="E57" s="4" t="s">
        <v>523</v>
      </c>
      <c r="F57" s="4" t="s">
        <v>104</v>
      </c>
      <c r="G57" s="4" t="s">
        <v>461</v>
      </c>
      <c r="H57" s="4" t="s">
        <v>104</v>
      </c>
      <c r="I57" s="4" t="s">
        <v>469</v>
      </c>
      <c r="J57" s="4"/>
      <c r="K57" s="4"/>
      <c r="L57" s="4" t="s">
        <v>104</v>
      </c>
      <c r="M57" s="4"/>
      <c r="N57" s="4"/>
      <c r="O57" s="4"/>
      <c r="P57" s="4"/>
    </row>
    <row r="58" spans="1:16" x14ac:dyDescent="0.2">
      <c r="A58" s="2"/>
      <c r="B58" s="3"/>
      <c r="C58" s="3"/>
      <c r="D58" s="3"/>
      <c r="E58" s="3"/>
      <c r="F58" s="3"/>
      <c r="G58" s="3"/>
      <c r="H58" s="3"/>
    </row>
    <row r="59" spans="1:16" x14ac:dyDescent="0.2">
      <c r="A59" s="2"/>
    </row>
  </sheetData>
  <pageMargins left="0.7" right="0.7" top="0.75" bottom="0.75" header="0.3" footer="0.3"/>
  <pageSetup orientation="portrait" r:id="rId1"/>
  <ignoredErrors>
    <ignoredError sqref="D46:F48" formulaRange="1"/>
  </ignoredErrors>
  <legacyDrawing r:id="rId2"/>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2:O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423</v>
      </c>
    </row>
    <row r="3" spans="1:15" s="35" customFormat="1" x14ac:dyDescent="0.2">
      <c r="A3" s="36" t="s">
        <v>43</v>
      </c>
      <c r="B3" s="35" t="s">
        <v>416</v>
      </c>
    </row>
    <row r="4" spans="1:15" x14ac:dyDescent="0.2">
      <c r="A4" s="34" t="s">
        <v>41</v>
      </c>
      <c r="B4" s="1" t="s">
        <v>40</v>
      </c>
    </row>
    <row r="5" spans="1:15" x14ac:dyDescent="0.2">
      <c r="A5" s="34" t="s">
        <v>39</v>
      </c>
    </row>
    <row r="6" spans="1:15" x14ac:dyDescent="0.2">
      <c r="A6" s="34" t="s">
        <v>38</v>
      </c>
      <c r="B6" s="1">
        <v>2</v>
      </c>
    </row>
    <row r="7" spans="1:15" x14ac:dyDescent="0.2">
      <c r="A7" s="34" t="s">
        <v>37</v>
      </c>
      <c r="B7" s="1" t="s">
        <v>418</v>
      </c>
    </row>
    <row r="8" spans="1:15" x14ac:dyDescent="0.2">
      <c r="A8" s="34" t="s">
        <v>281</v>
      </c>
      <c r="B8" s="1" t="s">
        <v>417</v>
      </c>
    </row>
    <row r="9" spans="1:15" x14ac:dyDescent="0.2">
      <c r="A9" s="22"/>
    </row>
    <row r="10" spans="1:15" x14ac:dyDescent="0.2">
      <c r="A10" s="22" t="s">
        <v>36</v>
      </c>
      <c r="B10" s="33">
        <v>44377</v>
      </c>
      <c r="C10" s="33">
        <v>44286</v>
      </c>
      <c r="D10" s="33">
        <v>44196</v>
      </c>
      <c r="E10" s="33">
        <v>44104</v>
      </c>
      <c r="F10" s="33">
        <v>44012</v>
      </c>
      <c r="G10" s="33">
        <v>43921</v>
      </c>
      <c r="H10" s="33">
        <v>43830</v>
      </c>
      <c r="I10" s="33">
        <v>43738</v>
      </c>
      <c r="J10" s="33">
        <v>43646</v>
      </c>
      <c r="K10" s="33">
        <f>EOMONTH(J10,-3)</f>
        <v>43555</v>
      </c>
      <c r="L10" s="33">
        <f t="shared" ref="L10:O10" si="0">EOMONTH(K10,-3)</f>
        <v>43465</v>
      </c>
      <c r="M10" s="33">
        <f t="shared" si="0"/>
        <v>43373</v>
      </c>
      <c r="N10" s="33">
        <f t="shared" si="0"/>
        <v>43281</v>
      </c>
      <c r="O10" s="33">
        <f t="shared" si="0"/>
        <v>43190</v>
      </c>
    </row>
    <row r="12" spans="1:15" x14ac:dyDescent="0.2">
      <c r="A12" s="15" t="s">
        <v>35</v>
      </c>
      <c r="B12" s="19">
        <v>464.375</v>
      </c>
      <c r="C12" s="19">
        <v>505.13400000000001</v>
      </c>
      <c r="D12" s="19">
        <f>1967.909-E12-F12-G12</f>
        <v>510.2410000000001</v>
      </c>
      <c r="E12" s="19">
        <v>495.75900000000001</v>
      </c>
      <c r="F12" s="19">
        <v>512.53899999999999</v>
      </c>
      <c r="G12" s="19">
        <v>449.37</v>
      </c>
      <c r="H12" s="19">
        <f>1660.414-I12-J12-K12</f>
        <v>470.17200000000008</v>
      </c>
      <c r="I12" s="19">
        <v>406.31099999999998</v>
      </c>
      <c r="J12" s="19">
        <v>371.197</v>
      </c>
      <c r="K12" s="19">
        <v>412.73399999999998</v>
      </c>
      <c r="L12" s="19">
        <v>458.05500000000006</v>
      </c>
      <c r="M12" s="19">
        <v>422.60199999999998</v>
      </c>
      <c r="N12" s="19">
        <v>388.37799999999999</v>
      </c>
      <c r="O12" s="19">
        <v>431.72899999999998</v>
      </c>
    </row>
    <row r="13" spans="1:15" s="28" customFormat="1" x14ac:dyDescent="0.2">
      <c r="A13" s="28" t="s">
        <v>34</v>
      </c>
      <c r="B13" s="28">
        <f t="shared" ref="B13:J13" si="1">+B12/F12-1</f>
        <v>-9.3971385592120815E-2</v>
      </c>
      <c r="C13" s="28">
        <f t="shared" si="1"/>
        <v>0.12409373122371314</v>
      </c>
      <c r="D13" s="28">
        <f t="shared" si="1"/>
        <v>8.5222003862416296E-2</v>
      </c>
      <c r="E13" s="28">
        <f t="shared" si="1"/>
        <v>0.22014663644351251</v>
      </c>
      <c r="F13" s="28">
        <f t="shared" si="1"/>
        <v>0.38077355151038383</v>
      </c>
      <c r="G13" s="28">
        <f t="shared" si="1"/>
        <v>8.8764191949294302E-2</v>
      </c>
      <c r="H13" s="28">
        <f t="shared" si="1"/>
        <v>2.6453155188787436E-2</v>
      </c>
      <c r="I13" s="28">
        <f t="shared" si="1"/>
        <v>-3.8549273311531906E-2</v>
      </c>
      <c r="J13" s="28">
        <f t="shared" si="1"/>
        <v>-4.4237830155158031E-2</v>
      </c>
      <c r="K13" s="28">
        <f t="shared" ref="K13" si="2">+K12/O12-1</f>
        <v>-4.3997507695799909E-2</v>
      </c>
    </row>
    <row r="14" spans="1:15" s="23" customFormat="1" x14ac:dyDescent="0.2">
      <c r="A14" s="31" t="s">
        <v>33</v>
      </c>
      <c r="B14" s="32" t="s">
        <v>32</v>
      </c>
      <c r="C14" s="32" t="s">
        <v>32</v>
      </c>
      <c r="D14" s="32" t="s">
        <v>32</v>
      </c>
      <c r="E14" s="32" t="s">
        <v>32</v>
      </c>
      <c r="F14" s="32" t="s">
        <v>32</v>
      </c>
      <c r="G14" s="32" t="s">
        <v>32</v>
      </c>
      <c r="H14" s="32" t="s">
        <v>32</v>
      </c>
      <c r="I14" s="32" t="s">
        <v>32</v>
      </c>
      <c r="J14" s="32" t="s">
        <v>32</v>
      </c>
      <c r="K14" s="32" t="s">
        <v>32</v>
      </c>
      <c r="L14" s="32"/>
      <c r="M14" s="32"/>
      <c r="N14" s="31"/>
      <c r="O14" s="31"/>
    </row>
    <row r="16" spans="1:15" s="22" customFormat="1" x14ac:dyDescent="0.2">
      <c r="A16" s="30" t="s">
        <v>31</v>
      </c>
      <c r="B16" s="29">
        <v>80.47</v>
      </c>
      <c r="C16" s="29">
        <v>83.361000000000004</v>
      </c>
      <c r="D16" s="29">
        <f>342.697-E16-F16-G16</f>
        <v>61.201999999999998</v>
      </c>
      <c r="E16" s="29">
        <v>104.187</v>
      </c>
      <c r="F16" s="29">
        <v>101.101</v>
      </c>
      <c r="G16" s="29">
        <v>76.206999999999994</v>
      </c>
      <c r="H16" s="29">
        <f>263.729-I16-J16-K16</f>
        <v>60.704000000000015</v>
      </c>
      <c r="I16" s="29">
        <v>81.120999999999995</v>
      </c>
      <c r="J16" s="29">
        <v>62.491999999999997</v>
      </c>
      <c r="K16" s="29">
        <v>59.411999999999999</v>
      </c>
      <c r="L16" s="29">
        <v>11.264000000000122</v>
      </c>
      <c r="M16" s="29">
        <v>84.692999999999969</v>
      </c>
      <c r="N16" s="29">
        <v>54.394000000000005</v>
      </c>
      <c r="O16" s="29">
        <v>70.080999999999989</v>
      </c>
    </row>
    <row r="17" spans="1:15" s="28" customFormat="1" x14ac:dyDescent="0.2">
      <c r="A17" s="28" t="s">
        <v>30</v>
      </c>
      <c r="B17" s="28">
        <f t="shared" ref="B17:C17" si="3">+B16/B12</f>
        <v>0.17328667563930014</v>
      </c>
      <c r="C17" s="28">
        <f t="shared" si="3"/>
        <v>0.16502749765408783</v>
      </c>
      <c r="D17" s="28">
        <f t="shared" ref="D17:J17" si="4">+D16/D12</f>
        <v>0.11994724061766888</v>
      </c>
      <c r="E17" s="28">
        <f t="shared" si="4"/>
        <v>0.21015654783876841</v>
      </c>
      <c r="F17" s="28">
        <f t="shared" si="4"/>
        <v>0.19725523326029826</v>
      </c>
      <c r="G17" s="28">
        <f t="shared" si="4"/>
        <v>0.16958630972250038</v>
      </c>
      <c r="H17" s="28">
        <f t="shared" si="4"/>
        <v>0.12911019797010456</v>
      </c>
      <c r="I17" s="28">
        <f t="shared" si="4"/>
        <v>0.1996524829502524</v>
      </c>
      <c r="J17" s="28">
        <f t="shared" si="4"/>
        <v>0.16835265371217978</v>
      </c>
      <c r="K17" s="28">
        <f t="shared" ref="K17:O17" si="5">+K16/K12</f>
        <v>0.14394743345593045</v>
      </c>
      <c r="L17" s="28">
        <f t="shared" si="5"/>
        <v>2.4590933403194203E-2</v>
      </c>
      <c r="M17" s="28">
        <f t="shared" si="5"/>
        <v>0.20040842210874529</v>
      </c>
      <c r="N17" s="28">
        <f t="shared" si="5"/>
        <v>0.1400542770187807</v>
      </c>
      <c r="O17" s="28">
        <f t="shared" si="5"/>
        <v>0.162326366771748</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row>
    <row r="20" spans="1:1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row>
    <row r="21" spans="1:15" s="23" customFormat="1" x14ac:dyDescent="0.2">
      <c r="A21" s="15" t="s">
        <v>18</v>
      </c>
      <c r="B21" s="19">
        <v>3.319</v>
      </c>
      <c r="C21" s="19">
        <f>4.51+5.054</f>
        <v>9.5640000000000001</v>
      </c>
      <c r="D21" s="19">
        <f>17.227+1.323-E21-F21-G21</f>
        <v>12.147000000000002</v>
      </c>
      <c r="E21" s="19">
        <v>0.42299999999999999</v>
      </c>
      <c r="F21" s="19">
        <v>1.4970000000000001</v>
      </c>
      <c r="G21" s="19">
        <v>4.4829999999999997</v>
      </c>
      <c r="H21" s="19">
        <f>21.519+16.382+0.891-I21-J21-K21</f>
        <v>8.7799999999999976</v>
      </c>
      <c r="I21" s="19">
        <v>5.1109999999999998</v>
      </c>
      <c r="J21" s="19">
        <f>4.823+3.66</f>
        <v>8.4830000000000005</v>
      </c>
      <c r="K21" s="19">
        <f>3.696+12.722</f>
        <v>16.417999999999999</v>
      </c>
      <c r="L21" s="19">
        <v>47.994999999999962</v>
      </c>
      <c r="M21" s="19">
        <v>6.3680000000000376</v>
      </c>
      <c r="N21" s="19">
        <v>20.051999999999992</v>
      </c>
      <c r="O21" s="19">
        <v>19.335000000000008</v>
      </c>
    </row>
    <row r="22" spans="1:15" s="22" customFormat="1" x14ac:dyDescent="0.2">
      <c r="A22" s="22" t="s">
        <v>23</v>
      </c>
      <c r="B22" s="20">
        <f t="shared" ref="B22:C22" si="6">SUM(B16,B19:B21)</f>
        <v>83.789000000000001</v>
      </c>
      <c r="C22" s="20">
        <f t="shared" si="6"/>
        <v>92.925000000000011</v>
      </c>
      <c r="D22" s="20">
        <f t="shared" ref="D22:J22" si="7">SUM(D16,D19:D21)</f>
        <v>73.349000000000004</v>
      </c>
      <c r="E22" s="20">
        <f t="shared" si="7"/>
        <v>104.61</v>
      </c>
      <c r="F22" s="20">
        <f t="shared" si="7"/>
        <v>102.598</v>
      </c>
      <c r="G22" s="20">
        <f t="shared" si="7"/>
        <v>80.69</v>
      </c>
      <c r="H22" s="20">
        <f t="shared" si="7"/>
        <v>69.484000000000009</v>
      </c>
      <c r="I22" s="20">
        <f t="shared" si="7"/>
        <v>86.231999999999999</v>
      </c>
      <c r="J22" s="20">
        <f t="shared" si="7"/>
        <v>70.974999999999994</v>
      </c>
      <c r="K22" s="20">
        <f t="shared" ref="K22:O22" si="8">SUM(K16,K19:K21)</f>
        <v>75.83</v>
      </c>
      <c r="L22" s="20">
        <f t="shared" si="8"/>
        <v>59.259000000000086</v>
      </c>
      <c r="M22" s="20">
        <f t="shared" si="8"/>
        <v>91.061000000000007</v>
      </c>
      <c r="N22" s="20">
        <f t="shared" si="8"/>
        <v>74.445999999999998</v>
      </c>
      <c r="O22" s="20">
        <f t="shared" si="8"/>
        <v>89.415999999999997</v>
      </c>
    </row>
    <row r="23" spans="1:15" s="22" customFormat="1" x14ac:dyDescent="0.2">
      <c r="B23" s="28"/>
      <c r="C23" s="28"/>
      <c r="D23" s="28"/>
      <c r="E23" s="28"/>
      <c r="F23" s="28"/>
      <c r="G23" s="28"/>
      <c r="H23" s="28"/>
      <c r="I23" s="28"/>
      <c r="J23" s="20"/>
      <c r="K23" s="20"/>
      <c r="L23" s="20"/>
      <c r="M23" s="20"/>
      <c r="N23" s="20"/>
      <c r="O23" s="20"/>
    </row>
    <row r="24" spans="1:15" s="22" customFormat="1" x14ac:dyDescent="0.2">
      <c r="A24" s="22" t="s">
        <v>27</v>
      </c>
      <c r="B24" s="20">
        <f t="shared" ref="B24:J24" si="9">SUM(B22:E22)</f>
        <v>354.673</v>
      </c>
      <c r="C24" s="20">
        <f t="shared" si="9"/>
        <v>373.48200000000003</v>
      </c>
      <c r="D24" s="20">
        <f t="shared" si="9"/>
        <v>361.24700000000001</v>
      </c>
      <c r="E24" s="20">
        <f t="shared" si="9"/>
        <v>357.38200000000006</v>
      </c>
      <c r="F24" s="20">
        <f t="shared" si="9"/>
        <v>339.00400000000002</v>
      </c>
      <c r="G24" s="20">
        <f t="shared" si="9"/>
        <v>307.38099999999997</v>
      </c>
      <c r="H24" s="20">
        <f t="shared" si="9"/>
        <v>302.52100000000002</v>
      </c>
      <c r="I24" s="20">
        <f t="shared" si="9"/>
        <v>292.29600000000005</v>
      </c>
      <c r="J24" s="20">
        <f t="shared" si="9"/>
        <v>297.12500000000011</v>
      </c>
      <c r="K24" s="20">
        <f t="shared" ref="K24" si="10">SUM(K22:N22)</f>
        <v>300.59600000000012</v>
      </c>
      <c r="L24" s="20"/>
      <c r="M24" s="20"/>
      <c r="N24" s="20"/>
      <c r="O24" s="20"/>
    </row>
    <row r="25" spans="1:15" s="23" customFormat="1" x14ac:dyDescent="0.2">
      <c r="A25" s="15" t="s">
        <v>26</v>
      </c>
      <c r="B25" s="27">
        <v>0</v>
      </c>
      <c r="C25" s="27">
        <v>0</v>
      </c>
      <c r="D25" s="27">
        <v>0</v>
      </c>
      <c r="E25" s="27">
        <v>0</v>
      </c>
      <c r="F25" s="27">
        <v>0</v>
      </c>
      <c r="G25" s="27">
        <v>0</v>
      </c>
      <c r="H25" s="27">
        <v>0</v>
      </c>
      <c r="I25" s="27">
        <f>J25</f>
        <v>8.8749999999998863</v>
      </c>
      <c r="J25" s="27">
        <f>306-J24</f>
        <v>8.8749999999998863</v>
      </c>
      <c r="K25" s="27">
        <v>0</v>
      </c>
      <c r="L25" s="27"/>
      <c r="M25" s="27"/>
      <c r="N25" s="27"/>
      <c r="O25" s="27"/>
    </row>
    <row r="26" spans="1:15" s="23" customFormat="1" x14ac:dyDescent="0.2">
      <c r="A26" s="15" t="s">
        <v>25</v>
      </c>
      <c r="B26" s="21">
        <v>0</v>
      </c>
      <c r="C26" s="21">
        <v>0</v>
      </c>
      <c r="D26" s="21">
        <v>0</v>
      </c>
      <c r="E26" s="21">
        <v>0</v>
      </c>
      <c r="F26" s="21">
        <v>0</v>
      </c>
      <c r="G26" s="21">
        <v>0</v>
      </c>
      <c r="H26" s="21">
        <v>0</v>
      </c>
      <c r="I26" s="21">
        <v>0</v>
      </c>
      <c r="J26" s="21">
        <v>0</v>
      </c>
      <c r="K26" s="21">
        <v>0</v>
      </c>
      <c r="L26" s="21"/>
      <c r="M26" s="21"/>
      <c r="N26" s="21"/>
      <c r="O26" s="26"/>
    </row>
    <row r="27" spans="1:15" s="24" customFormat="1" x14ac:dyDescent="0.2">
      <c r="A27" s="22" t="s">
        <v>24</v>
      </c>
      <c r="B27" s="20">
        <f t="shared" ref="B27:C27" si="11">SUM(B24:B26)</f>
        <v>354.673</v>
      </c>
      <c r="C27" s="20">
        <f t="shared" si="11"/>
        <v>373.48200000000003</v>
      </c>
      <c r="D27" s="20">
        <f t="shared" ref="D27:J27" si="12">SUM(D24:D26)</f>
        <v>361.24700000000001</v>
      </c>
      <c r="E27" s="20">
        <f t="shared" si="12"/>
        <v>357.38200000000006</v>
      </c>
      <c r="F27" s="20">
        <f t="shared" si="12"/>
        <v>339.00400000000002</v>
      </c>
      <c r="G27" s="20">
        <f t="shared" si="12"/>
        <v>307.38099999999997</v>
      </c>
      <c r="H27" s="20">
        <f t="shared" si="12"/>
        <v>302.52100000000002</v>
      </c>
      <c r="I27" s="20">
        <f t="shared" si="12"/>
        <v>301.17099999999994</v>
      </c>
      <c r="J27" s="20">
        <f t="shared" si="12"/>
        <v>306</v>
      </c>
      <c r="K27" s="20">
        <f t="shared" ref="K27" si="13">SUM(K24:K26)</f>
        <v>300.59600000000012</v>
      </c>
      <c r="L27" s="20"/>
      <c r="M27" s="20"/>
      <c r="N27" s="20"/>
      <c r="O27" s="25"/>
    </row>
    <row r="28" spans="1:15" s="23" customFormat="1" x14ac:dyDescent="0.2"/>
    <row r="29" spans="1:15" s="22" customFormat="1" x14ac:dyDescent="0.2">
      <c r="A29" s="22" t="s">
        <v>23</v>
      </c>
      <c r="B29" s="20">
        <f t="shared" ref="B29:D29" si="14">B22</f>
        <v>83.789000000000001</v>
      </c>
      <c r="C29" s="20">
        <f t="shared" si="14"/>
        <v>92.925000000000011</v>
      </c>
      <c r="D29" s="20">
        <f t="shared" si="14"/>
        <v>73.349000000000004</v>
      </c>
      <c r="E29" s="20">
        <f t="shared" ref="E29" si="15">E22</f>
        <v>104.61</v>
      </c>
      <c r="F29" s="20">
        <f t="shared" ref="F29" si="16">F22</f>
        <v>102.598</v>
      </c>
      <c r="G29" s="20">
        <f t="shared" ref="G29" si="17">G22</f>
        <v>80.69</v>
      </c>
      <c r="H29" s="20">
        <f t="shared" ref="H29:I29" si="18">H22</f>
        <v>69.484000000000009</v>
      </c>
      <c r="I29" s="20">
        <f t="shared" si="18"/>
        <v>86.231999999999999</v>
      </c>
      <c r="J29" s="20">
        <f t="shared" ref="J29:O29" si="19">J22</f>
        <v>70.974999999999994</v>
      </c>
      <c r="K29" s="20">
        <f t="shared" si="19"/>
        <v>75.83</v>
      </c>
      <c r="L29" s="20">
        <f t="shared" si="19"/>
        <v>59.259000000000086</v>
      </c>
      <c r="M29" s="20">
        <f t="shared" si="19"/>
        <v>91.061000000000007</v>
      </c>
      <c r="N29" s="20">
        <f t="shared" si="19"/>
        <v>74.445999999999998</v>
      </c>
      <c r="O29" s="20">
        <f t="shared" si="19"/>
        <v>89.415999999999997</v>
      </c>
    </row>
    <row r="30" spans="1:15" s="11" customFormat="1" x14ac:dyDescent="0.2">
      <c r="A30" s="19" t="s">
        <v>22</v>
      </c>
      <c r="B30" s="19">
        <f>-51.118-C30</f>
        <v>-6.5410000000000039</v>
      </c>
      <c r="C30" s="19">
        <v>-44.576999999999998</v>
      </c>
      <c r="D30" s="19">
        <f>-97.449-E30-F30-G30</f>
        <v>-4.5080000000000027</v>
      </c>
      <c r="E30" s="19">
        <f>-92.941-F30-G30</f>
        <v>-43.932999999999993</v>
      </c>
      <c r="F30" s="19">
        <f>-49.008-G30</f>
        <v>-29.248000000000001</v>
      </c>
      <c r="G30" s="19">
        <v>-19.760000000000002</v>
      </c>
      <c r="H30" s="19">
        <f>-87.982-I30-J30-K30</f>
        <v>-39.347999999999999</v>
      </c>
      <c r="I30" s="19">
        <f>-48.634-J30-K30</f>
        <v>-3.3319999999999972</v>
      </c>
      <c r="J30" s="19">
        <f>-45.302-K30</f>
        <v>-42.712000000000003</v>
      </c>
      <c r="K30" s="19">
        <v>-2.59</v>
      </c>
      <c r="L30" s="19">
        <v>-48.85</v>
      </c>
      <c r="M30" s="19">
        <v>-6.4590000000000032</v>
      </c>
      <c r="N30" s="19">
        <v>-46.220999999999997</v>
      </c>
      <c r="O30" s="19">
        <v>-6.8040000000000003</v>
      </c>
    </row>
    <row r="31" spans="1:15" s="11" customFormat="1" x14ac:dyDescent="0.2">
      <c r="A31" s="19" t="s">
        <v>21</v>
      </c>
      <c r="B31" s="19">
        <f>-1.065-C31</f>
        <v>-0.3829999999999999</v>
      </c>
      <c r="C31" s="19">
        <v>-0.68200000000000005</v>
      </c>
      <c r="D31" s="19">
        <f>-9.812-E31-F31-G31</f>
        <v>-4.4889999999999981</v>
      </c>
      <c r="E31" s="19">
        <f>-5.323-F31-G31</f>
        <v>-4.0670000000000011</v>
      </c>
      <c r="F31" s="19">
        <f>-1.256-G31</f>
        <v>-0.59699999999999998</v>
      </c>
      <c r="G31" s="19">
        <v>-0.65900000000000003</v>
      </c>
      <c r="H31" s="19">
        <f>-47.506-I31-J31-K31</f>
        <v>-1.5030000000000001</v>
      </c>
      <c r="I31" s="19">
        <f>-46.003-J31-K31</f>
        <v>-1.2929999999999993</v>
      </c>
      <c r="J31" s="19">
        <f>-44.71-K31</f>
        <v>-44.146000000000001</v>
      </c>
      <c r="K31" s="19">
        <v>-0.56399999999999995</v>
      </c>
      <c r="L31" s="19">
        <v>-47.504999999999995</v>
      </c>
      <c r="M31" s="19">
        <v>-0.7090000000000003</v>
      </c>
      <c r="N31" s="19">
        <v>-0.92699999999999994</v>
      </c>
      <c r="O31" s="19">
        <v>-0.70099999999999996</v>
      </c>
    </row>
    <row r="32" spans="1:15" s="11" customFormat="1" x14ac:dyDescent="0.2">
      <c r="A32" s="19" t="s">
        <v>20</v>
      </c>
      <c r="B32" s="19">
        <f>11.372-38.653-0.005+5.721-0.115-0.912-26.343+0.641-C32</f>
        <v>-15.960999999999999</v>
      </c>
      <c r="C32" s="19">
        <f>-3.222-4.295+5.041+2.334-0.145+6.462-40.1+1.592</f>
        <v>-32.332999999999998</v>
      </c>
      <c r="D32" s="19">
        <f>10.806+17.271-17.964-7.11-0.151+4.928+10.825-2.648-E32-F32-G32</f>
        <v>-10.452999999999996</v>
      </c>
      <c r="E32" s="19">
        <f>-20.558-7.39-12.508+12.612-0.175+71.21-16.503-0.278-F32-G32</f>
        <v>-89.802999999999997</v>
      </c>
      <c r="F32" s="19">
        <f>1.751+110.038-9.667+6.93-0.15+10.903-0.025-3.567-G32</f>
        <v>120.96199999999999</v>
      </c>
      <c r="G32" s="19">
        <f>-57.759+66.812-1.953-8.523-0.131-8.405+3.484+1.726</f>
        <v>-4.7490000000000014</v>
      </c>
      <c r="H32" s="19">
        <f>13.918-57.436-4.629-38.686+0.143-26.879-10.735-3.505-I32-J32-K32</f>
        <v>10.255999999999998</v>
      </c>
      <c r="I32" s="19">
        <f>-10.316-112.19-9.363-38.699+0.039+32.009+5.029-4.574-J32-K32</f>
        <v>-75.11</v>
      </c>
      <c r="J32" s="19">
        <f>21.246+10.251-5.035-39.759+0.122-32.335-16.749-0.696-K32</f>
        <v>-74.977999999999994</v>
      </c>
      <c r="K32" s="19">
        <f>-10.807+27.32-1.085+1.553+0.07-14.444+11.119-1.703</f>
        <v>12.022999999999998</v>
      </c>
      <c r="L32" s="19">
        <v>127.94500000000002</v>
      </c>
      <c r="M32" s="19">
        <v>-22.493000000000002</v>
      </c>
      <c r="N32" s="19">
        <v>3.3069999999999915</v>
      </c>
      <c r="O32" s="19">
        <v>30.130000000000006</v>
      </c>
    </row>
    <row r="33" spans="1:15"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row>
    <row r="34" spans="1:15"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row>
    <row r="35" spans="1:15" s="20" customFormat="1" x14ac:dyDescent="0.2">
      <c r="A35" s="20" t="s">
        <v>17</v>
      </c>
      <c r="B35" s="20">
        <f>65.965-C35</f>
        <v>39.945000000000007</v>
      </c>
      <c r="C35" s="20">
        <v>26.02</v>
      </c>
      <c r="D35" s="20">
        <f>281.477-E35-F35-G35</f>
        <v>49.17399999999995</v>
      </c>
      <c r="E35" s="20">
        <f>232.303-F35-G35</f>
        <v>-14.063000000000017</v>
      </c>
      <c r="F35" s="20">
        <f>246.366-G35</f>
        <v>188.78800000000001</v>
      </c>
      <c r="G35" s="20">
        <v>57.578000000000003</v>
      </c>
      <c r="H35" s="20">
        <f>46.504-I35-J35-K35</f>
        <v>45.175000000000004</v>
      </c>
      <c r="I35" s="20">
        <f>1.329-J35-K35</f>
        <v>-15.516999999999996</v>
      </c>
      <c r="J35" s="20">
        <f>16.846-K35</f>
        <v>-33.498000000000005</v>
      </c>
      <c r="K35" s="20">
        <v>50.344000000000001</v>
      </c>
      <c r="L35" s="20">
        <v>70.393000000000001</v>
      </c>
      <c r="M35" s="20">
        <v>34.258999999999986</v>
      </c>
      <c r="N35" s="20">
        <v>31.060000000000002</v>
      </c>
      <c r="O35" s="20">
        <v>73.744</v>
      </c>
    </row>
    <row r="36" spans="1:15" s="11" customFormat="1" x14ac:dyDescent="0.2">
      <c r="A36" s="19" t="s">
        <v>16</v>
      </c>
      <c r="B36" s="21">
        <f>-19.813-C36</f>
        <v>-8.0279999999999987</v>
      </c>
      <c r="C36" s="21">
        <v>-11.785</v>
      </c>
      <c r="D36" s="21">
        <f>-26.748-E36-F36-G36</f>
        <v>-10.260000000000003</v>
      </c>
      <c r="E36" s="21">
        <f>-16.488-F36-G36</f>
        <v>-6.4719999999999995</v>
      </c>
      <c r="F36" s="21">
        <f>-10.016-G36</f>
        <v>-3.875</v>
      </c>
      <c r="G36" s="21">
        <v>-6.141</v>
      </c>
      <c r="H36" s="21">
        <f>-42.355-I36-J36-K36</f>
        <v>-13.839999999999996</v>
      </c>
      <c r="I36" s="21">
        <f>-28.515-J36-K36</f>
        <v>-10.367000000000001</v>
      </c>
      <c r="J36" s="21">
        <f>-18.148-K36</f>
        <v>-9.5</v>
      </c>
      <c r="K36" s="21">
        <v>-8.6479999999999997</v>
      </c>
      <c r="L36" s="21">
        <v>-15.684000000000001</v>
      </c>
      <c r="M36" s="21">
        <v>-8.708000000000002</v>
      </c>
      <c r="N36" s="21">
        <v>-12.235999999999997</v>
      </c>
      <c r="O36" s="21">
        <v>-4.9720000000000004</v>
      </c>
    </row>
    <row r="37" spans="1:15" s="20" customFormat="1" x14ac:dyDescent="0.2">
      <c r="A37" s="20" t="s">
        <v>15</v>
      </c>
      <c r="B37" s="20">
        <f t="shared" ref="B37:J37" si="20">+B35+B36</f>
        <v>31.917000000000009</v>
      </c>
      <c r="C37" s="20">
        <f t="shared" si="20"/>
        <v>14.234999999999999</v>
      </c>
      <c r="D37" s="20">
        <f t="shared" si="20"/>
        <v>38.913999999999945</v>
      </c>
      <c r="E37" s="20">
        <f t="shared" si="20"/>
        <v>-20.535000000000018</v>
      </c>
      <c r="F37" s="20">
        <f t="shared" si="20"/>
        <v>184.91300000000001</v>
      </c>
      <c r="G37" s="20">
        <f t="shared" si="20"/>
        <v>51.437000000000005</v>
      </c>
      <c r="H37" s="20">
        <f t="shared" si="20"/>
        <v>31.335000000000008</v>
      </c>
      <c r="I37" s="20">
        <f t="shared" si="20"/>
        <v>-25.883999999999997</v>
      </c>
      <c r="J37" s="20">
        <f t="shared" si="20"/>
        <v>-42.998000000000005</v>
      </c>
      <c r="K37" s="20">
        <f t="shared" ref="K37:O37" si="21">+K35+K36</f>
        <v>41.695999999999998</v>
      </c>
      <c r="L37" s="20">
        <f t="shared" si="21"/>
        <v>54.709000000000003</v>
      </c>
      <c r="M37" s="20">
        <f t="shared" si="21"/>
        <v>25.550999999999984</v>
      </c>
      <c r="N37" s="20">
        <f t="shared" si="21"/>
        <v>18.824000000000005</v>
      </c>
      <c r="O37" s="20">
        <f t="shared" si="21"/>
        <v>68.772000000000006</v>
      </c>
    </row>
    <row r="39" spans="1:15" s="16" customFormat="1" x14ac:dyDescent="0.2">
      <c r="A39" s="18" t="s">
        <v>14</v>
      </c>
      <c r="B39" s="19">
        <v>225</v>
      </c>
      <c r="C39" s="19">
        <v>230</v>
      </c>
      <c r="D39" s="19">
        <v>235</v>
      </c>
      <c r="E39" s="19">
        <v>0</v>
      </c>
      <c r="F39" s="19">
        <v>0</v>
      </c>
      <c r="G39" s="19">
        <v>100</v>
      </c>
      <c r="H39" s="19">
        <v>0</v>
      </c>
      <c r="I39" s="19">
        <v>28</v>
      </c>
      <c r="J39" s="19">
        <v>28</v>
      </c>
      <c r="K39" s="19"/>
      <c r="L39" s="19"/>
      <c r="M39" s="19"/>
      <c r="N39" s="19"/>
      <c r="O39" s="19"/>
    </row>
    <row r="40" spans="1:15" s="16" customFormat="1" x14ac:dyDescent="0.2">
      <c r="A40" s="18" t="s">
        <v>13</v>
      </c>
      <c r="B40" s="19">
        <v>671.625</v>
      </c>
      <c r="C40" s="19">
        <v>671.625</v>
      </c>
      <c r="D40" s="19">
        <v>671.625</v>
      </c>
      <c r="E40" s="19">
        <v>371.625</v>
      </c>
      <c r="F40" s="19">
        <v>447.75</v>
      </c>
      <c r="G40" s="19">
        <v>448.875</v>
      </c>
      <c r="H40" s="19">
        <v>450</v>
      </c>
      <c r="I40" s="19">
        <v>450</v>
      </c>
      <c r="J40" s="19">
        <v>450</v>
      </c>
      <c r="K40" s="19"/>
      <c r="L40" s="19"/>
      <c r="M40" s="19"/>
      <c r="N40" s="19"/>
      <c r="O40" s="19"/>
    </row>
    <row r="41" spans="1:15" s="16" customFormat="1" x14ac:dyDescent="0.2">
      <c r="A41" s="18" t="s">
        <v>12</v>
      </c>
      <c r="B41" s="19">
        <f t="shared" ref="B41:G41" si="22">+B39+B40+900+550</f>
        <v>2346.625</v>
      </c>
      <c r="C41" s="19">
        <f t="shared" si="22"/>
        <v>2351.625</v>
      </c>
      <c r="D41" s="19">
        <f t="shared" si="22"/>
        <v>2356.625</v>
      </c>
      <c r="E41" s="19">
        <f t="shared" si="22"/>
        <v>1821.625</v>
      </c>
      <c r="F41" s="19">
        <f t="shared" si="22"/>
        <v>1897.75</v>
      </c>
      <c r="G41" s="19">
        <f t="shared" si="22"/>
        <v>1998.875</v>
      </c>
      <c r="H41" s="19">
        <f>H39+H40+900+550</f>
        <v>1900</v>
      </c>
      <c r="I41" s="19">
        <f>I39+I40+1350</f>
        <v>1828</v>
      </c>
      <c r="J41" s="19">
        <f>J39+J40+1350</f>
        <v>1828</v>
      </c>
      <c r="K41" s="19"/>
      <c r="L41" s="19"/>
      <c r="M41" s="19"/>
      <c r="N41" s="19"/>
      <c r="O41" s="19"/>
    </row>
    <row r="42" spans="1:15" s="16" customFormat="1" x14ac:dyDescent="0.2">
      <c r="A42" s="18" t="s">
        <v>11</v>
      </c>
      <c r="B42" s="17">
        <f>64825078/1000000*28.72</f>
        <v>1861.77624016</v>
      </c>
      <c r="C42" s="17">
        <f>64752107/1000000*29.35</f>
        <v>1900.47434045</v>
      </c>
      <c r="D42" s="17">
        <f>64672816/1000000*31.31</f>
        <v>2024.9058689599999</v>
      </c>
      <c r="E42" s="17">
        <f>64252859/1000000*26.56</f>
        <v>1706.5559350399999</v>
      </c>
      <c r="F42" s="17">
        <f>64164721/1000000*26.2</f>
        <v>1681.1156902</v>
      </c>
      <c r="G42" s="17">
        <f>64117429/1000000*19.64</f>
        <v>1259.2663055600001</v>
      </c>
      <c r="H42" s="17">
        <v>1243.4000000000001</v>
      </c>
      <c r="I42" s="17">
        <v>1243.4000000000001</v>
      </c>
      <c r="J42" s="17">
        <v>1243.4000000000001</v>
      </c>
      <c r="K42" s="17"/>
      <c r="L42" s="17"/>
      <c r="M42" s="17"/>
      <c r="N42" s="17"/>
      <c r="O42" s="17"/>
    </row>
    <row r="43" spans="1:15" x14ac:dyDescent="0.2">
      <c r="B43" s="16"/>
      <c r="C43" s="16"/>
      <c r="D43" s="16"/>
      <c r="E43" s="16"/>
      <c r="F43" s="16"/>
      <c r="G43" s="16"/>
      <c r="H43" s="16"/>
      <c r="I43" s="16"/>
      <c r="J43" s="16"/>
      <c r="K43" s="16"/>
      <c r="L43" s="16"/>
    </row>
    <row r="44" spans="1:15" x14ac:dyDescent="0.2">
      <c r="A44" s="15" t="s">
        <v>10</v>
      </c>
      <c r="B44" s="27">
        <v>40.322000000000003</v>
      </c>
      <c r="C44" s="27">
        <v>43.128</v>
      </c>
      <c r="D44" s="27">
        <v>52.182000000000002</v>
      </c>
      <c r="E44" s="27">
        <v>56.966999999999999</v>
      </c>
      <c r="F44" s="27">
        <v>181.2</v>
      </c>
      <c r="G44" s="27">
        <v>127.068</v>
      </c>
      <c r="H44" s="27">
        <v>125</v>
      </c>
      <c r="I44" s="27">
        <v>20</v>
      </c>
      <c r="J44" s="27">
        <v>20</v>
      </c>
      <c r="K44" s="27"/>
      <c r="L44" s="27"/>
      <c r="M44" s="27"/>
      <c r="N44" s="27"/>
      <c r="O44" s="27"/>
    </row>
    <row r="46" spans="1:15" x14ac:dyDescent="0.2">
      <c r="A46" s="1" t="s">
        <v>9</v>
      </c>
      <c r="B46" s="13">
        <f t="shared" ref="B46:J46" si="23">SUM(B12:E12)</f>
        <v>1975.509</v>
      </c>
      <c r="C46" s="13">
        <f t="shared" si="23"/>
        <v>2023.673</v>
      </c>
      <c r="D46" s="13">
        <f t="shared" si="23"/>
        <v>1967.9090000000001</v>
      </c>
      <c r="E46" s="13">
        <f t="shared" si="23"/>
        <v>1927.8400000000001</v>
      </c>
      <c r="F46" s="13">
        <f t="shared" si="23"/>
        <v>1838.3920000000001</v>
      </c>
      <c r="G46" s="13">
        <f t="shared" si="23"/>
        <v>1697.0500000000002</v>
      </c>
      <c r="H46" s="13">
        <f t="shared" si="23"/>
        <v>1660.414</v>
      </c>
      <c r="I46" s="13">
        <f t="shared" si="23"/>
        <v>1648.297</v>
      </c>
      <c r="J46" s="13">
        <f t="shared" si="23"/>
        <v>1664.5880000000002</v>
      </c>
      <c r="K46" s="11"/>
      <c r="L46" s="11"/>
      <c r="M46" s="11"/>
      <c r="N46" s="11"/>
    </row>
    <row r="47" spans="1:15" x14ac:dyDescent="0.2">
      <c r="A47" s="1" t="s">
        <v>8</v>
      </c>
      <c r="B47" s="13">
        <f t="shared" ref="B47:C47" si="24">B27</f>
        <v>354.673</v>
      </c>
      <c r="C47" s="13">
        <f t="shared" si="24"/>
        <v>373.48200000000003</v>
      </c>
      <c r="D47" s="13">
        <f t="shared" ref="D47:J47" si="25">D27</f>
        <v>361.24700000000001</v>
      </c>
      <c r="E47" s="13">
        <f t="shared" si="25"/>
        <v>357.38200000000006</v>
      </c>
      <c r="F47" s="13">
        <f t="shared" si="25"/>
        <v>339.00400000000002</v>
      </c>
      <c r="G47" s="13">
        <f t="shared" si="25"/>
        <v>307.38099999999997</v>
      </c>
      <c r="H47" s="13">
        <f t="shared" si="25"/>
        <v>302.52100000000002</v>
      </c>
      <c r="I47" s="13">
        <f t="shared" si="25"/>
        <v>301.17099999999994</v>
      </c>
      <c r="J47" s="13">
        <f t="shared" si="25"/>
        <v>306</v>
      </c>
      <c r="K47" s="11"/>
      <c r="L47" s="11"/>
      <c r="M47" s="11"/>
      <c r="N47" s="11"/>
    </row>
    <row r="48" spans="1:15" x14ac:dyDescent="0.2">
      <c r="A48" s="1" t="s">
        <v>7</v>
      </c>
      <c r="B48" s="13">
        <f t="shared" ref="B48:J48" si="26">SUM(B37:E37)</f>
        <v>64.530999999999921</v>
      </c>
      <c r="C48" s="13">
        <f t="shared" si="26"/>
        <v>217.52699999999993</v>
      </c>
      <c r="D48" s="13">
        <f t="shared" si="26"/>
        <v>254.72899999999996</v>
      </c>
      <c r="E48" s="13">
        <f t="shared" si="26"/>
        <v>247.15</v>
      </c>
      <c r="F48" s="13">
        <f t="shared" si="26"/>
        <v>241.80100000000007</v>
      </c>
      <c r="G48" s="13">
        <f t="shared" si="26"/>
        <v>13.890000000000015</v>
      </c>
      <c r="H48" s="13">
        <f t="shared" si="26"/>
        <v>4.1490000000000009</v>
      </c>
      <c r="I48" s="13">
        <f t="shared" si="26"/>
        <v>27.522999999999996</v>
      </c>
      <c r="J48" s="13">
        <f t="shared" si="26"/>
        <v>78.957999999999984</v>
      </c>
      <c r="K48" s="11"/>
      <c r="L48" s="11"/>
      <c r="M48" s="11"/>
      <c r="N48" s="11"/>
    </row>
    <row r="50" spans="1:15" s="10" customFormat="1" x14ac:dyDescent="0.2">
      <c r="A50" s="10" t="s">
        <v>6</v>
      </c>
      <c r="B50" s="10">
        <f t="shared" ref="B50:C50" si="27">+SUM(B39:B40)/B47</f>
        <v>2.5280328640747958</v>
      </c>
      <c r="C50" s="10">
        <f t="shared" si="27"/>
        <v>2.4141056329354558</v>
      </c>
      <c r="D50" s="10">
        <f t="shared" ref="D50:J50" si="28">+SUM(D39:D40)/D47</f>
        <v>2.5097094231924415</v>
      </c>
      <c r="E50" s="10">
        <f t="shared" si="28"/>
        <v>1.0398537139531367</v>
      </c>
      <c r="F50" s="10">
        <f t="shared" si="28"/>
        <v>1.3207808757418791</v>
      </c>
      <c r="G50" s="10">
        <f t="shared" si="28"/>
        <v>1.7856503817737597</v>
      </c>
      <c r="H50" s="10">
        <f t="shared" si="28"/>
        <v>1.4875000413194455</v>
      </c>
      <c r="I50" s="10">
        <f t="shared" si="28"/>
        <v>1.5871382038775317</v>
      </c>
      <c r="J50" s="10">
        <f t="shared" si="28"/>
        <v>1.5620915032679739</v>
      </c>
    </row>
    <row r="51" spans="1:15" s="10" customFormat="1" x14ac:dyDescent="0.2">
      <c r="A51" s="10" t="s">
        <v>5</v>
      </c>
      <c r="B51" s="10">
        <f t="shared" ref="B51:C51" si="29">+B41/B47</f>
        <v>6.6163057238639533</v>
      </c>
      <c r="C51" s="10">
        <f t="shared" si="29"/>
        <v>6.2964881841695179</v>
      </c>
      <c r="D51" s="10">
        <f t="shared" ref="D51:J51" si="30">+D41/D47</f>
        <v>6.5235835868533165</v>
      </c>
      <c r="E51" s="10">
        <f t="shared" si="30"/>
        <v>5.0971369570935297</v>
      </c>
      <c r="F51" s="10">
        <f t="shared" si="30"/>
        <v>5.5980165425776685</v>
      </c>
      <c r="G51" s="10">
        <f t="shared" si="30"/>
        <v>6.5029230824286479</v>
      </c>
      <c r="H51" s="10">
        <f t="shared" si="30"/>
        <v>6.2805557300154362</v>
      </c>
      <c r="I51" s="10">
        <f t="shared" si="30"/>
        <v>6.069641499347548</v>
      </c>
      <c r="J51" s="10">
        <f t="shared" si="30"/>
        <v>5.9738562091503269</v>
      </c>
    </row>
    <row r="52" spans="1:15" s="10" customFormat="1" x14ac:dyDescent="0.2">
      <c r="A52" s="10" t="s">
        <v>4</v>
      </c>
      <c r="B52" s="10">
        <f t="shared" ref="B52:C52" si="31">+(B41-B44)/B47</f>
        <v>6.5026179043795267</v>
      </c>
      <c r="C52" s="10">
        <f t="shared" si="31"/>
        <v>6.1810127395697778</v>
      </c>
      <c r="D52" s="10">
        <f t="shared" ref="D52:J52" si="32">+(D41-D44)/D47</f>
        <v>6.379133944364936</v>
      </c>
      <c r="E52" s="10">
        <f t="shared" si="32"/>
        <v>4.9377360919128543</v>
      </c>
      <c r="F52" s="10">
        <f t="shared" si="32"/>
        <v>5.0635095751082577</v>
      </c>
      <c r="G52" s="10">
        <f t="shared" si="32"/>
        <v>6.0895338358584308</v>
      </c>
      <c r="H52" s="10">
        <f t="shared" si="32"/>
        <v>5.8673612740933683</v>
      </c>
      <c r="I52" s="10">
        <f t="shared" si="32"/>
        <v>6.0032340431183622</v>
      </c>
      <c r="J52" s="10">
        <f t="shared" si="32"/>
        <v>5.9084967320261441</v>
      </c>
    </row>
    <row r="53" spans="1:15" s="6" customFormat="1" x14ac:dyDescent="0.2">
      <c r="A53" s="6" t="s">
        <v>3</v>
      </c>
      <c r="B53" s="6">
        <f t="shared" ref="B53:C53" si="33">+B48/B41</f>
        <v>2.7499493954082958E-2</v>
      </c>
      <c r="C53" s="6">
        <f t="shared" si="33"/>
        <v>9.2500717588901257E-2</v>
      </c>
      <c r="D53" s="6">
        <f t="shared" ref="D53:J53" si="34">+D48/D41</f>
        <v>0.10809059566116797</v>
      </c>
      <c r="E53" s="6">
        <f t="shared" si="34"/>
        <v>0.13567556439991765</v>
      </c>
      <c r="F53" s="6">
        <f t="shared" si="34"/>
        <v>0.12741456988539063</v>
      </c>
      <c r="G53" s="6">
        <f t="shared" si="34"/>
        <v>6.9489087611781701E-3</v>
      </c>
      <c r="H53" s="6">
        <f t="shared" si="34"/>
        <v>2.1836842105263164E-3</v>
      </c>
      <c r="I53" s="6">
        <f t="shared" si="34"/>
        <v>1.5056345733041574E-2</v>
      </c>
      <c r="J53" s="6">
        <f t="shared" si="34"/>
        <v>4.3193654266958419E-2</v>
      </c>
    </row>
    <row r="54" spans="1:15" s="6" customFormat="1" x14ac:dyDescent="0.2">
      <c r="A54" s="8" t="s">
        <v>2</v>
      </c>
      <c r="B54" s="9"/>
      <c r="C54" s="9"/>
      <c r="D54" s="9"/>
      <c r="E54" s="9"/>
      <c r="F54" s="9"/>
      <c r="G54" s="9"/>
      <c r="H54" s="9"/>
      <c r="I54" s="9"/>
      <c r="J54" s="9"/>
      <c r="K54" s="9"/>
      <c r="L54" s="9"/>
      <c r="M54" s="9"/>
      <c r="N54" s="9"/>
      <c r="O54" s="8"/>
    </row>
    <row r="55" spans="1:15" s="6" customFormat="1" x14ac:dyDescent="0.2">
      <c r="A55" s="6" t="s">
        <v>1</v>
      </c>
      <c r="B55" s="7">
        <f t="shared" ref="B55:C55" si="35">IF(B42=0,IF(B54="","","*"&amp;TEXT(B54,"0.0x")),(B41+B42-B44)/B47)</f>
        <v>11.751893265514996</v>
      </c>
      <c r="C55" s="7">
        <f t="shared" si="35"/>
        <v>11.269542683315395</v>
      </c>
      <c r="D55" s="7">
        <f t="shared" ref="D55:J55" si="36">IF(D42=0,IF(D54="","","*"&amp;TEXT(D54,"0.0x")),(D41+D42-D44)/D47)</f>
        <v>11.98445625558136</v>
      </c>
      <c r="E55" s="7">
        <f t="shared" si="36"/>
        <v>9.7128952634435954</v>
      </c>
      <c r="F55" s="7">
        <f t="shared" si="36"/>
        <v>10.022494395936333</v>
      </c>
      <c r="G55" s="7">
        <f t="shared" si="36"/>
        <v>10.186294226253413</v>
      </c>
      <c r="H55" s="7">
        <f t="shared" si="36"/>
        <v>9.9774891660413658</v>
      </c>
      <c r="I55" s="7">
        <f t="shared" si="36"/>
        <v>10.131785596886822</v>
      </c>
      <c r="J55" s="7">
        <f t="shared" si="36"/>
        <v>9.9718954248366014</v>
      </c>
      <c r="K55" s="7"/>
      <c r="L55" s="7"/>
      <c r="M55" s="7"/>
      <c r="N55" s="7"/>
      <c r="O55" s="7" t="str">
        <f t="shared" ref="O55" si="37">IF(O42=0,IF(O54="","",CONCATENATE("* ",O54,"x")),(O41+O42-O44)/O47)</f>
        <v/>
      </c>
    </row>
    <row r="56" spans="1:15" x14ac:dyDescent="0.2">
      <c r="N56" s="3"/>
    </row>
    <row r="57" spans="1:15" ht="80.25" customHeight="1" x14ac:dyDescent="0.2">
      <c r="A57" s="5" t="s">
        <v>0</v>
      </c>
      <c r="B57" s="4" t="s">
        <v>236</v>
      </c>
      <c r="C57" s="4" t="s">
        <v>236</v>
      </c>
      <c r="D57" s="4" t="s">
        <v>279</v>
      </c>
      <c r="E57" s="4" t="s">
        <v>236</v>
      </c>
      <c r="F57" s="4" t="s">
        <v>236</v>
      </c>
      <c r="G57" s="4" t="s">
        <v>236</v>
      </c>
      <c r="H57" s="4" t="s">
        <v>104</v>
      </c>
      <c r="I57" s="4" t="s">
        <v>466</v>
      </c>
      <c r="J57" s="4" t="s">
        <v>104</v>
      </c>
      <c r="K57" s="4"/>
      <c r="L57" s="4"/>
      <c r="M57" s="4"/>
      <c r="N57" s="4"/>
      <c r="O57" s="4"/>
    </row>
    <row r="58" spans="1:15" x14ac:dyDescent="0.2">
      <c r="A58" s="2"/>
      <c r="B58" s="3"/>
      <c r="C58" s="3"/>
      <c r="D58" s="3"/>
      <c r="E58" s="3"/>
      <c r="F58" s="3"/>
      <c r="G58" s="3"/>
      <c r="H58" s="3"/>
      <c r="I58" s="3"/>
      <c r="J58" s="3"/>
    </row>
    <row r="59" spans="1:15" x14ac:dyDescent="0.2">
      <c r="A59" s="2"/>
    </row>
  </sheetData>
  <pageMargins left="0.7" right="0.7" top="0.75" bottom="0.75" header="0.3" footer="0.3"/>
  <pageSetup orientation="portrait" r:id="rId1"/>
  <ignoredErrors>
    <ignoredError sqref="H46:J46 D47:H56 D46:G46 H57" formulaRange="1"/>
  </ignoredErrors>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2:O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419</v>
      </c>
    </row>
    <row r="3" spans="1:15" s="35" customFormat="1" x14ac:dyDescent="0.2">
      <c r="A3" s="36" t="s">
        <v>43</v>
      </c>
      <c r="B3" s="35" t="s">
        <v>420</v>
      </c>
    </row>
    <row r="4" spans="1:15" x14ac:dyDescent="0.2">
      <c r="A4" s="34" t="s">
        <v>41</v>
      </c>
      <c r="B4" s="1" t="s">
        <v>502</v>
      </c>
    </row>
    <row r="5" spans="1:15" x14ac:dyDescent="0.2">
      <c r="A5" s="34" t="s">
        <v>39</v>
      </c>
    </row>
    <row r="6" spans="1:15" x14ac:dyDescent="0.2">
      <c r="A6" s="34" t="s">
        <v>38</v>
      </c>
      <c r="B6" s="1">
        <v>3</v>
      </c>
    </row>
    <row r="7" spans="1:15" x14ac:dyDescent="0.2">
      <c r="A7" s="34" t="s">
        <v>37</v>
      </c>
      <c r="B7" s="1" t="s">
        <v>422</v>
      </c>
    </row>
    <row r="8" spans="1:15" x14ac:dyDescent="0.2">
      <c r="A8" s="34" t="s">
        <v>281</v>
      </c>
      <c r="B8" s="1" t="s">
        <v>421</v>
      </c>
    </row>
    <row r="9" spans="1:15" x14ac:dyDescent="0.2">
      <c r="A9" s="22"/>
    </row>
    <row r="10" spans="1:15" x14ac:dyDescent="0.2">
      <c r="A10" s="22" t="s">
        <v>36</v>
      </c>
      <c r="B10" s="33">
        <v>44377</v>
      </c>
      <c r="C10" s="33">
        <v>44286</v>
      </c>
      <c r="D10" s="33">
        <v>44196</v>
      </c>
      <c r="E10" s="33">
        <v>44104</v>
      </c>
      <c r="F10" s="33">
        <v>44012</v>
      </c>
      <c r="G10" s="33">
        <v>43921</v>
      </c>
      <c r="H10" s="33">
        <v>43830</v>
      </c>
      <c r="I10" s="33">
        <v>43738</v>
      </c>
      <c r="J10" s="33">
        <v>43646</v>
      </c>
      <c r="K10" s="33">
        <f>EOMONTH(J10,-3)</f>
        <v>43555</v>
      </c>
      <c r="L10" s="33">
        <f t="shared" ref="L10:O10" si="0">EOMONTH(K10,-3)</f>
        <v>43465</v>
      </c>
      <c r="M10" s="33">
        <f t="shared" si="0"/>
        <v>43373</v>
      </c>
      <c r="N10" s="33">
        <f t="shared" si="0"/>
        <v>43281</v>
      </c>
      <c r="O10" s="33">
        <f t="shared" si="0"/>
        <v>43190</v>
      </c>
    </row>
    <row r="12" spans="1:15" x14ac:dyDescent="0.2">
      <c r="A12" s="15" t="s">
        <v>35</v>
      </c>
      <c r="B12" s="19">
        <v>585.4</v>
      </c>
      <c r="C12" s="19">
        <v>581.6</v>
      </c>
      <c r="D12" s="19">
        <f>2187.7-E12-F12-G12</f>
        <v>529.59999999999991</v>
      </c>
      <c r="E12" s="19">
        <v>593.6</v>
      </c>
      <c r="F12" s="19">
        <v>419</v>
      </c>
      <c r="G12" s="19">
        <v>645.5</v>
      </c>
      <c r="H12" s="19">
        <f>2781.9-I12-J12-K12</f>
        <v>671.30000000000018</v>
      </c>
      <c r="I12" s="19">
        <v>701.9</v>
      </c>
      <c r="J12" s="19">
        <v>719.1</v>
      </c>
      <c r="K12" s="19">
        <v>689.59999999999991</v>
      </c>
      <c r="L12" s="19">
        <v>593.79999999999995</v>
      </c>
      <c r="M12" s="19">
        <v>612.4</v>
      </c>
      <c r="N12" s="19">
        <v>623.40000000000009</v>
      </c>
      <c r="O12" s="19">
        <v>613.20000000000005</v>
      </c>
    </row>
    <row r="13" spans="1:15" s="28" customFormat="1" x14ac:dyDescent="0.2">
      <c r="A13" s="28" t="s">
        <v>34</v>
      </c>
      <c r="B13" s="28">
        <f t="shared" ref="B13:K13" si="1">+B12/F12-1</f>
        <v>0.3971360381861575</v>
      </c>
      <c r="C13" s="28">
        <f t="shared" si="1"/>
        <v>-9.8993028659953519E-2</v>
      </c>
      <c r="D13" s="28">
        <f t="shared" si="1"/>
        <v>-0.21108297333531989</v>
      </c>
      <c r="E13" s="28">
        <f t="shared" si="1"/>
        <v>-0.15429548368713486</v>
      </c>
      <c r="F13" s="28">
        <f t="shared" si="1"/>
        <v>-0.41732721457377275</v>
      </c>
      <c r="G13" s="28">
        <f t="shared" si="1"/>
        <v>-6.3950116009280578E-2</v>
      </c>
      <c r="H13" s="28">
        <f t="shared" si="1"/>
        <v>0.13051532502526153</v>
      </c>
      <c r="I13" s="28">
        <f t="shared" si="1"/>
        <v>0.1461463096015676</v>
      </c>
      <c r="J13" s="28">
        <f t="shared" si="1"/>
        <v>0.15351299326275258</v>
      </c>
      <c r="K13" s="28">
        <f t="shared" si="1"/>
        <v>0.12459230267449417</v>
      </c>
    </row>
    <row r="14" spans="1:15" s="23" customFormat="1" x14ac:dyDescent="0.2">
      <c r="A14" s="31" t="s">
        <v>33</v>
      </c>
      <c r="B14" s="32" t="s">
        <v>32</v>
      </c>
      <c r="C14" s="32" t="s">
        <v>32</v>
      </c>
      <c r="D14" s="32" t="s">
        <v>32</v>
      </c>
      <c r="E14" s="32" t="s">
        <v>32</v>
      </c>
      <c r="F14" s="32" t="s">
        <v>32</v>
      </c>
      <c r="G14" s="32" t="s">
        <v>32</v>
      </c>
      <c r="H14" s="32" t="s">
        <v>32</v>
      </c>
      <c r="I14" s="32" t="s">
        <v>32</v>
      </c>
      <c r="J14" s="32" t="s">
        <v>32</v>
      </c>
      <c r="K14" s="32" t="s">
        <v>32</v>
      </c>
      <c r="L14" s="32"/>
      <c r="M14" s="32"/>
      <c r="N14" s="31"/>
      <c r="O14" s="31"/>
    </row>
    <row r="16" spans="1:15" s="22" customFormat="1" x14ac:dyDescent="0.2">
      <c r="A16" s="30" t="s">
        <v>31</v>
      </c>
      <c r="B16" s="29">
        <v>116.5</v>
      </c>
      <c r="C16" s="29">
        <v>123.2</v>
      </c>
      <c r="D16" s="29">
        <v>67.5</v>
      </c>
      <c r="E16" s="29">
        <v>139.19999999999999</v>
      </c>
      <c r="F16" s="29">
        <v>80</v>
      </c>
      <c r="G16" s="29">
        <v>88.6</v>
      </c>
      <c r="H16" s="29">
        <v>122</v>
      </c>
      <c r="I16" s="29">
        <v>129.19999999999999</v>
      </c>
      <c r="J16" s="29">
        <v>135.9</v>
      </c>
      <c r="K16" s="29">
        <v>122.9</v>
      </c>
      <c r="L16" s="29">
        <v>110.5</v>
      </c>
      <c r="M16" s="29">
        <v>126.4</v>
      </c>
      <c r="N16" s="29"/>
      <c r="O16" s="29"/>
    </row>
    <row r="17" spans="1:15" s="28" customFormat="1" x14ac:dyDescent="0.2">
      <c r="A17" s="28" t="s">
        <v>30</v>
      </c>
      <c r="B17" s="28">
        <f t="shared" ref="B17" si="2">+B16/B12</f>
        <v>0.19900922446190639</v>
      </c>
      <c r="C17" s="28">
        <f t="shared" ref="C17:D17" si="3">+C16/C12</f>
        <v>0.21182943603851445</v>
      </c>
      <c r="D17" s="28">
        <f t="shared" si="3"/>
        <v>0.12745468277945621</v>
      </c>
      <c r="E17" s="28">
        <f t="shared" ref="E17:F17" si="4">+E16/E12</f>
        <v>0.23450134770889486</v>
      </c>
      <c r="F17" s="28">
        <f t="shared" si="4"/>
        <v>0.1909307875894988</v>
      </c>
      <c r="G17" s="28">
        <f t="shared" ref="G17:M17" si="5">+G16/G12</f>
        <v>0.13725793958171958</v>
      </c>
      <c r="H17" s="28">
        <f t="shared" si="5"/>
        <v>0.18173692834798147</v>
      </c>
      <c r="I17" s="28">
        <f t="shared" si="5"/>
        <v>0.18407180510044166</v>
      </c>
      <c r="J17" s="28">
        <f t="shared" si="5"/>
        <v>0.18898623279098875</v>
      </c>
      <c r="K17" s="28">
        <f t="shared" si="5"/>
        <v>0.17821925754060328</v>
      </c>
      <c r="L17" s="28">
        <f t="shared" si="5"/>
        <v>0.18608959245537218</v>
      </c>
      <c r="M17" s="28">
        <f t="shared" si="5"/>
        <v>0.20640104506858264</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v>0</v>
      </c>
      <c r="K19" s="19">
        <v>0</v>
      </c>
      <c r="L19" s="19">
        <v>0</v>
      </c>
      <c r="M19" s="19">
        <v>0</v>
      </c>
      <c r="N19" s="19"/>
      <c r="O19" s="19"/>
    </row>
    <row r="20" spans="1:15" s="23" customFormat="1" x14ac:dyDescent="0.2">
      <c r="A20" s="15" t="s">
        <v>28</v>
      </c>
      <c r="B20" s="19">
        <v>0</v>
      </c>
      <c r="C20" s="19">
        <v>0</v>
      </c>
      <c r="D20" s="19">
        <v>0</v>
      </c>
      <c r="E20" s="19">
        <v>0</v>
      </c>
      <c r="F20" s="19">
        <v>0</v>
      </c>
      <c r="G20" s="19">
        <v>0</v>
      </c>
      <c r="H20" s="19">
        <v>0</v>
      </c>
      <c r="I20" s="19">
        <v>0</v>
      </c>
      <c r="J20" s="19">
        <v>0</v>
      </c>
      <c r="K20" s="19">
        <v>0</v>
      </c>
      <c r="L20" s="19">
        <v>0</v>
      </c>
      <c r="M20" s="19">
        <v>0</v>
      </c>
      <c r="N20" s="19"/>
      <c r="O20" s="19"/>
    </row>
    <row r="21" spans="1:15" s="23" customFormat="1" x14ac:dyDescent="0.2">
      <c r="A21" s="15" t="s">
        <v>18</v>
      </c>
      <c r="B21" s="19">
        <v>0</v>
      </c>
      <c r="C21" s="19">
        <v>0</v>
      </c>
      <c r="D21" s="19">
        <v>0</v>
      </c>
      <c r="E21" s="19">
        <v>0</v>
      </c>
      <c r="F21" s="19">
        <v>0</v>
      </c>
      <c r="G21" s="19">
        <v>0</v>
      </c>
      <c r="H21" s="19">
        <v>0</v>
      </c>
      <c r="I21" s="19">
        <v>0</v>
      </c>
      <c r="J21" s="19">
        <v>0</v>
      </c>
      <c r="K21" s="19">
        <v>0</v>
      </c>
      <c r="L21" s="19">
        <v>0</v>
      </c>
      <c r="M21" s="19">
        <v>0</v>
      </c>
      <c r="N21" s="19"/>
      <c r="O21" s="19"/>
    </row>
    <row r="22" spans="1:15" s="22" customFormat="1" x14ac:dyDescent="0.2">
      <c r="A22" s="22" t="s">
        <v>23</v>
      </c>
      <c r="B22" s="20">
        <f t="shared" ref="B22" si="6">SUM(B16,B19:B21)</f>
        <v>116.5</v>
      </c>
      <c r="C22" s="20">
        <f t="shared" ref="C22:D22" si="7">SUM(C16,C19:C21)</f>
        <v>123.2</v>
      </c>
      <c r="D22" s="20">
        <f t="shared" si="7"/>
        <v>67.5</v>
      </c>
      <c r="E22" s="20">
        <f t="shared" ref="E22:F22" si="8">SUM(E16,E19:E21)</f>
        <v>139.19999999999999</v>
      </c>
      <c r="F22" s="20">
        <f t="shared" si="8"/>
        <v>80</v>
      </c>
      <c r="G22" s="20">
        <f t="shared" ref="G22:M22" si="9">SUM(G16,G19:G21)</f>
        <v>88.6</v>
      </c>
      <c r="H22" s="20">
        <f t="shared" si="9"/>
        <v>122</v>
      </c>
      <c r="I22" s="20">
        <f t="shared" si="9"/>
        <v>129.19999999999999</v>
      </c>
      <c r="J22" s="20">
        <f t="shared" si="9"/>
        <v>135.9</v>
      </c>
      <c r="K22" s="20">
        <f t="shared" si="9"/>
        <v>122.9</v>
      </c>
      <c r="L22" s="20">
        <f t="shared" si="9"/>
        <v>110.5</v>
      </c>
      <c r="M22" s="20">
        <f t="shared" si="9"/>
        <v>126.4</v>
      </c>
      <c r="N22" s="20"/>
      <c r="O22" s="20"/>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20">
        <f t="shared" ref="B24:J24" si="10">SUM(B22:E22)</f>
        <v>446.4</v>
      </c>
      <c r="C24" s="20">
        <f t="shared" si="10"/>
        <v>409.9</v>
      </c>
      <c r="D24" s="20">
        <f t="shared" si="10"/>
        <v>375.29999999999995</v>
      </c>
      <c r="E24" s="20">
        <f t="shared" si="10"/>
        <v>429.79999999999995</v>
      </c>
      <c r="F24" s="20">
        <f t="shared" si="10"/>
        <v>419.8</v>
      </c>
      <c r="G24" s="20">
        <f t="shared" si="10"/>
        <v>475.69999999999993</v>
      </c>
      <c r="H24" s="20">
        <f t="shared" si="10"/>
        <v>510</v>
      </c>
      <c r="I24" s="20">
        <f t="shared" si="10"/>
        <v>498.5</v>
      </c>
      <c r="J24" s="20">
        <f t="shared" si="10"/>
        <v>495.70000000000005</v>
      </c>
      <c r="K24" s="20"/>
      <c r="L24" s="20"/>
      <c r="M24" s="20"/>
      <c r="N24" s="20"/>
      <c r="O24" s="20"/>
    </row>
    <row r="25" spans="1:15" s="23" customFormat="1" x14ac:dyDescent="0.2">
      <c r="A25" s="15" t="s">
        <v>26</v>
      </c>
      <c r="B25" s="27">
        <v>0</v>
      </c>
      <c r="C25" s="27">
        <v>0</v>
      </c>
      <c r="D25" s="27">
        <v>0</v>
      </c>
      <c r="E25" s="27">
        <v>0</v>
      </c>
      <c r="F25" s="27">
        <v>0</v>
      </c>
      <c r="G25" s="27">
        <v>0</v>
      </c>
      <c r="H25" s="27">
        <v>0</v>
      </c>
      <c r="I25" s="27">
        <v>0</v>
      </c>
      <c r="J25" s="27">
        <v>0</v>
      </c>
      <c r="K25" s="27"/>
      <c r="L25" s="27"/>
      <c r="M25" s="27"/>
      <c r="N25" s="27"/>
      <c r="O25" s="27"/>
    </row>
    <row r="26" spans="1:15" s="23" customFormat="1" x14ac:dyDescent="0.2">
      <c r="A26" s="15" t="s">
        <v>25</v>
      </c>
      <c r="B26" s="21">
        <v>0</v>
      </c>
      <c r="C26" s="21">
        <v>0</v>
      </c>
      <c r="D26" s="21">
        <v>0</v>
      </c>
      <c r="E26" s="21">
        <v>0</v>
      </c>
      <c r="F26" s="21">
        <v>0</v>
      </c>
      <c r="G26" s="21">
        <v>0</v>
      </c>
      <c r="H26" s="21">
        <v>0</v>
      </c>
      <c r="I26" s="21">
        <v>0</v>
      </c>
      <c r="J26" s="21">
        <v>0</v>
      </c>
      <c r="K26" s="21"/>
      <c r="L26" s="21"/>
      <c r="M26" s="21"/>
      <c r="N26" s="21"/>
      <c r="O26" s="26"/>
    </row>
    <row r="27" spans="1:15" s="24" customFormat="1" x14ac:dyDescent="0.2">
      <c r="A27" s="22" t="s">
        <v>24</v>
      </c>
      <c r="B27" s="20">
        <f t="shared" ref="B27" si="11">B24+B25+B26</f>
        <v>446.4</v>
      </c>
      <c r="C27" s="20">
        <f t="shared" ref="C27:D27" si="12">C24+C25+C26</f>
        <v>409.9</v>
      </c>
      <c r="D27" s="20">
        <f t="shared" si="12"/>
        <v>375.29999999999995</v>
      </c>
      <c r="E27" s="20">
        <f t="shared" ref="E27:J27" si="13">E24+E25+E26</f>
        <v>429.79999999999995</v>
      </c>
      <c r="F27" s="20">
        <f t="shared" si="13"/>
        <v>419.8</v>
      </c>
      <c r="G27" s="20">
        <f t="shared" si="13"/>
        <v>475.69999999999993</v>
      </c>
      <c r="H27" s="20">
        <f t="shared" si="13"/>
        <v>510</v>
      </c>
      <c r="I27" s="20">
        <f t="shared" si="13"/>
        <v>498.5</v>
      </c>
      <c r="J27" s="20">
        <f t="shared" si="13"/>
        <v>495.70000000000005</v>
      </c>
      <c r="K27" s="20"/>
      <c r="L27" s="20"/>
      <c r="M27" s="20"/>
      <c r="N27" s="20"/>
      <c r="O27" s="25"/>
    </row>
    <row r="28" spans="1:15" s="23" customFormat="1" x14ac:dyDescent="0.2"/>
    <row r="29" spans="1:15" s="22" customFormat="1" x14ac:dyDescent="0.2">
      <c r="A29" s="22" t="s">
        <v>23</v>
      </c>
      <c r="B29" s="20">
        <f t="shared" ref="B29" si="14">B22</f>
        <v>116.5</v>
      </c>
      <c r="C29" s="20">
        <f t="shared" ref="C29:D29" si="15">C22</f>
        <v>123.2</v>
      </c>
      <c r="D29" s="20">
        <f t="shared" si="15"/>
        <v>67.5</v>
      </c>
      <c r="E29" s="20">
        <f t="shared" ref="E29:F29" si="16">E22</f>
        <v>139.19999999999999</v>
      </c>
      <c r="F29" s="20">
        <f t="shared" si="16"/>
        <v>80</v>
      </c>
      <c r="G29" s="20">
        <f t="shared" ref="G29:L29" si="17">G22</f>
        <v>88.6</v>
      </c>
      <c r="H29" s="20">
        <f t="shared" si="17"/>
        <v>122</v>
      </c>
      <c r="I29" s="20">
        <f t="shared" si="17"/>
        <v>129.19999999999999</v>
      </c>
      <c r="J29" s="20">
        <f t="shared" si="17"/>
        <v>135.9</v>
      </c>
      <c r="K29" s="20">
        <f t="shared" si="17"/>
        <v>122.9</v>
      </c>
      <c r="L29" s="20">
        <f t="shared" si="17"/>
        <v>110.5</v>
      </c>
      <c r="M29" s="20"/>
      <c r="N29" s="20"/>
      <c r="O29" s="20"/>
    </row>
    <row r="30" spans="1:15" s="11" customFormat="1" x14ac:dyDescent="0.2">
      <c r="A30" s="19" t="s">
        <v>22</v>
      </c>
      <c r="B30" s="19">
        <f>-55.4-C30</f>
        <v>-40.099999999999994</v>
      </c>
      <c r="C30" s="19">
        <v>-15.3</v>
      </c>
      <c r="D30" s="19">
        <f>-116.6-E30-F30-G30</f>
        <v>-38.899999999999984</v>
      </c>
      <c r="E30" s="19">
        <f>-77.7-F30-G30</f>
        <v>-13.800000000000004</v>
      </c>
      <c r="F30" s="19">
        <f>-63.9-G30</f>
        <v>-40.5</v>
      </c>
      <c r="G30" s="19">
        <v>-23.4</v>
      </c>
      <c r="H30" s="19">
        <f>-170-I30-J30-K30</f>
        <v>-49.999999999999986</v>
      </c>
      <c r="I30" s="19">
        <f>-120-J30-K30</f>
        <v>-21.799999999999997</v>
      </c>
      <c r="J30" s="19">
        <f>-98.2-K30</f>
        <v>-62.5</v>
      </c>
      <c r="K30" s="19">
        <v>-35.700000000000003</v>
      </c>
      <c r="L30" s="19">
        <v>-52.5</v>
      </c>
      <c r="M30" s="19"/>
      <c r="N30" s="19"/>
      <c r="O30" s="19"/>
    </row>
    <row r="31" spans="1:15" s="11" customFormat="1" x14ac:dyDescent="0.2">
      <c r="A31" s="19" t="s">
        <v>21</v>
      </c>
      <c r="B31" s="19">
        <f>-16.6-C31</f>
        <v>-4.9000000000000021</v>
      </c>
      <c r="C31" s="19">
        <v>-11.7</v>
      </c>
      <c r="D31" s="19">
        <f>-16.6-E31-F31-G31</f>
        <v>-6.9000000000000021</v>
      </c>
      <c r="E31" s="19">
        <f>-9.7-F31-G31</f>
        <v>-6.1</v>
      </c>
      <c r="F31" s="19">
        <f>-3.6-G31</f>
        <v>1.9999999999999996</v>
      </c>
      <c r="G31" s="19">
        <v>-5.6</v>
      </c>
      <c r="H31" s="19">
        <f>-37.8-I31-J31-K31</f>
        <v>-9.9999999999999964</v>
      </c>
      <c r="I31" s="19">
        <f>-27.8-J31-K31</f>
        <v>-7.3000000000000007</v>
      </c>
      <c r="J31" s="19">
        <f>-20.5-K31</f>
        <v>-6.5</v>
      </c>
      <c r="K31" s="19">
        <v>-14</v>
      </c>
      <c r="L31" s="19">
        <v>-1.8</v>
      </c>
      <c r="M31" s="19"/>
      <c r="N31" s="19"/>
      <c r="O31" s="19"/>
    </row>
    <row r="32" spans="1:15" s="11" customFormat="1" x14ac:dyDescent="0.2">
      <c r="A32" s="19" t="s">
        <v>20</v>
      </c>
      <c r="B32" s="19">
        <f>-198.5+322.9-C32</f>
        <v>46.199999999999989</v>
      </c>
      <c r="C32" s="19">
        <f>-297.8+376</f>
        <v>78.199999999999989</v>
      </c>
      <c r="D32" s="19">
        <f>117.9-27.1-E32-F32-G32</f>
        <v>-88.6</v>
      </c>
      <c r="E32" s="19">
        <f>-49.4+228.8-F32-G32</f>
        <v>51.599999999999994</v>
      </c>
      <c r="F32" s="19">
        <f>-137.5+265.3-G32</f>
        <v>250.60000000000002</v>
      </c>
      <c r="G32" s="19">
        <f>210.7-333.5</f>
        <v>-122.80000000000001</v>
      </c>
      <c r="H32" s="19">
        <f>-3+19.8-I32-J32-K32</f>
        <v>7.0999999999999979</v>
      </c>
      <c r="I32" s="19">
        <f>-41.3+51-J32-K32</f>
        <v>27.999999999999986</v>
      </c>
      <c r="J32" s="19">
        <f>-145.7+127.4-K32</f>
        <v>16.900000000000034</v>
      </c>
      <c r="K32" s="19">
        <f>-177.8+142.6</f>
        <v>-35.200000000000017</v>
      </c>
      <c r="L32" s="19">
        <v>0</v>
      </c>
      <c r="M32" s="19"/>
      <c r="N32" s="19"/>
      <c r="O32" s="19"/>
    </row>
    <row r="33" spans="1:15" s="11" customFormat="1" x14ac:dyDescent="0.2">
      <c r="A33" s="19" t="s">
        <v>19</v>
      </c>
      <c r="B33" s="19">
        <v>0</v>
      </c>
      <c r="C33" s="19">
        <v>0</v>
      </c>
      <c r="D33" s="19">
        <v>0</v>
      </c>
      <c r="E33" s="19">
        <v>0</v>
      </c>
      <c r="F33" s="19">
        <v>0</v>
      </c>
      <c r="G33" s="19">
        <v>0</v>
      </c>
      <c r="H33" s="19">
        <v>0</v>
      </c>
      <c r="I33" s="19">
        <v>0</v>
      </c>
      <c r="J33" s="19">
        <v>0</v>
      </c>
      <c r="K33" s="19">
        <v>0</v>
      </c>
      <c r="L33" s="19">
        <v>0</v>
      </c>
      <c r="M33" s="19"/>
      <c r="N33" s="19"/>
      <c r="O33" s="19"/>
    </row>
    <row r="34" spans="1:15" s="11" customFormat="1" x14ac:dyDescent="0.2">
      <c r="A34" s="19" t="s">
        <v>18</v>
      </c>
      <c r="B34" s="21">
        <v>0</v>
      </c>
      <c r="C34" s="21">
        <v>0</v>
      </c>
      <c r="D34" s="21">
        <v>0</v>
      </c>
      <c r="E34" s="21">
        <v>0</v>
      </c>
      <c r="F34" s="21">
        <v>0</v>
      </c>
      <c r="G34" s="21">
        <v>0</v>
      </c>
      <c r="H34" s="21">
        <v>0</v>
      </c>
      <c r="I34" s="21">
        <v>0</v>
      </c>
      <c r="J34" s="21">
        <v>0</v>
      </c>
      <c r="K34" s="21">
        <v>0</v>
      </c>
      <c r="L34" s="21">
        <v>0</v>
      </c>
      <c r="M34" s="21"/>
      <c r="N34" s="21"/>
      <c r="O34" s="21"/>
    </row>
    <row r="35" spans="1:15" s="20" customFormat="1" x14ac:dyDescent="0.2">
      <c r="A35" s="20" t="s">
        <v>17</v>
      </c>
      <c r="B35" s="20">
        <f>295.7-C35</f>
        <v>131.19999999999999</v>
      </c>
      <c r="C35" s="20">
        <v>164.5</v>
      </c>
      <c r="D35" s="20">
        <f>384.4-E35-F35-G35</f>
        <v>-47.499999999999986</v>
      </c>
      <c r="E35" s="20">
        <f>431.9-F35-G35</f>
        <v>163</v>
      </c>
      <c r="F35" s="20">
        <f>268.9-G35</f>
        <v>318.09999999999997</v>
      </c>
      <c r="G35" s="20">
        <v>-49.2</v>
      </c>
      <c r="H35" s="20">
        <f>380.8-I35-J35-K35</f>
        <v>89.699999999999989</v>
      </c>
      <c r="I35" s="20">
        <f>291.1-J35-K35</f>
        <v>129.40000000000003</v>
      </c>
      <c r="J35" s="20">
        <f>161.7-K35</f>
        <v>111.69999999999999</v>
      </c>
      <c r="K35" s="20">
        <v>50</v>
      </c>
      <c r="L35" s="20">
        <f>438.6-326.9</f>
        <v>111.70000000000005</v>
      </c>
    </row>
    <row r="36" spans="1:15" s="11" customFormat="1" x14ac:dyDescent="0.2">
      <c r="A36" s="19" t="s">
        <v>16</v>
      </c>
      <c r="B36" s="21">
        <f>-50.7-C36</f>
        <v>-36.200000000000003</v>
      </c>
      <c r="C36" s="21">
        <v>-14.5</v>
      </c>
      <c r="D36" s="21">
        <f>-101.4-E36-F36-G36</f>
        <v>-27.100000000000009</v>
      </c>
      <c r="E36" s="21">
        <f>-74.3-F36-G36</f>
        <v>-27.599999999999994</v>
      </c>
      <c r="F36" s="21">
        <f>-46.7-G36</f>
        <v>-17.100000000000001</v>
      </c>
      <c r="G36" s="21">
        <v>-29.6</v>
      </c>
      <c r="H36" s="21">
        <f>-161.6-I36-J36-K36</f>
        <v>-34</v>
      </c>
      <c r="I36" s="21">
        <f>-127.6-J36-K36</f>
        <v>-49.199999999999989</v>
      </c>
      <c r="J36" s="21">
        <f>-78.4-K36</f>
        <v>-46.100000000000009</v>
      </c>
      <c r="K36" s="21">
        <v>-32.299999999999997</v>
      </c>
      <c r="L36" s="21">
        <f>-131.3+82.7</f>
        <v>-48.600000000000009</v>
      </c>
      <c r="M36" s="21"/>
      <c r="N36" s="21"/>
      <c r="O36" s="21"/>
    </row>
    <row r="37" spans="1:15" s="20" customFormat="1" x14ac:dyDescent="0.2">
      <c r="A37" s="20" t="s">
        <v>15</v>
      </c>
      <c r="B37" s="20">
        <f t="shared" ref="B37:H37" si="18">+B35+B36</f>
        <v>94.999999999999986</v>
      </c>
      <c r="C37" s="20">
        <f t="shared" si="18"/>
        <v>150</v>
      </c>
      <c r="D37" s="20">
        <f t="shared" si="18"/>
        <v>-74.599999999999994</v>
      </c>
      <c r="E37" s="20">
        <f t="shared" si="18"/>
        <v>135.4</v>
      </c>
      <c r="F37" s="20">
        <f t="shared" si="18"/>
        <v>300.99999999999994</v>
      </c>
      <c r="G37" s="20">
        <f t="shared" si="18"/>
        <v>-78.800000000000011</v>
      </c>
      <c r="H37" s="20">
        <f t="shared" si="18"/>
        <v>55.699999999999989</v>
      </c>
      <c r="I37" s="20">
        <f t="shared" ref="I37:L37" si="19">+I35+I36</f>
        <v>80.200000000000045</v>
      </c>
      <c r="J37" s="20">
        <f t="shared" si="19"/>
        <v>65.59999999999998</v>
      </c>
      <c r="K37" s="20">
        <f t="shared" si="19"/>
        <v>17.700000000000003</v>
      </c>
      <c r="L37" s="20">
        <f t="shared" si="19"/>
        <v>63.100000000000037</v>
      </c>
    </row>
    <row r="39" spans="1:15" s="16" customFormat="1" x14ac:dyDescent="0.2">
      <c r="A39" s="18" t="s">
        <v>14</v>
      </c>
      <c r="B39" s="19">
        <v>13.2</v>
      </c>
      <c r="C39" s="19">
        <v>20.9</v>
      </c>
      <c r="D39" s="19">
        <v>14.8</v>
      </c>
      <c r="E39" s="19">
        <v>0</v>
      </c>
      <c r="F39" s="19">
        <v>17.399999999999999</v>
      </c>
      <c r="G39" s="19">
        <v>18</v>
      </c>
      <c r="H39" s="19">
        <v>19.3</v>
      </c>
      <c r="I39" s="19">
        <v>18</v>
      </c>
      <c r="J39" s="19">
        <v>22</v>
      </c>
      <c r="K39" s="19"/>
      <c r="L39" s="19"/>
      <c r="M39" s="19"/>
      <c r="N39" s="19"/>
      <c r="O39" s="19"/>
    </row>
    <row r="40" spans="1:15" s="16" customFormat="1" x14ac:dyDescent="0.2">
      <c r="A40" s="18" t="s">
        <v>13</v>
      </c>
      <c r="B40" s="19">
        <v>933.4</v>
      </c>
      <c r="C40" s="19">
        <v>935.7</v>
      </c>
      <c r="D40" s="19">
        <v>938.1</v>
      </c>
      <c r="E40" s="19">
        <f>940.5+16.9</f>
        <v>957.4</v>
      </c>
      <c r="F40" s="19">
        <f>942.9</f>
        <v>942.9</v>
      </c>
      <c r="G40" s="19">
        <f>945+24</f>
        <v>969</v>
      </c>
      <c r="H40" s="19">
        <f>948+27</f>
        <v>975</v>
      </c>
      <c r="I40" s="19">
        <f>950+27</f>
        <v>977</v>
      </c>
      <c r="J40" s="19">
        <v>975</v>
      </c>
      <c r="K40" s="19"/>
      <c r="L40" s="19"/>
      <c r="M40" s="19"/>
      <c r="N40" s="19"/>
      <c r="O40" s="19"/>
    </row>
    <row r="41" spans="1:15" s="16" customFormat="1" x14ac:dyDescent="0.2">
      <c r="A41" s="18" t="s">
        <v>12</v>
      </c>
      <c r="B41" s="19">
        <f>+B39+B40+950</f>
        <v>1896.6</v>
      </c>
      <c r="C41" s="19">
        <f>+C39+C40+950</f>
        <v>1906.6</v>
      </c>
      <c r="D41" s="19">
        <f t="shared" ref="D41:J41" si="20">D39+D40+950</f>
        <v>1902.9</v>
      </c>
      <c r="E41" s="19">
        <f t="shared" si="20"/>
        <v>1907.4</v>
      </c>
      <c r="F41" s="19">
        <f t="shared" si="20"/>
        <v>1910.3</v>
      </c>
      <c r="G41" s="19">
        <f t="shared" si="20"/>
        <v>1937</v>
      </c>
      <c r="H41" s="19">
        <f t="shared" si="20"/>
        <v>1944.3</v>
      </c>
      <c r="I41" s="19">
        <f t="shared" si="20"/>
        <v>1945</v>
      </c>
      <c r="J41" s="19">
        <f t="shared" si="20"/>
        <v>1947</v>
      </c>
      <c r="K41" s="19"/>
      <c r="L41" s="19"/>
      <c r="M41" s="19"/>
      <c r="N41" s="19"/>
      <c r="O41" s="19"/>
    </row>
    <row r="42" spans="1:15" s="16" customFormat="1" x14ac:dyDescent="0.2">
      <c r="A42" s="18" t="s">
        <v>11</v>
      </c>
      <c r="B42" s="17">
        <f>119184223/1000000*16.1</f>
        <v>1918.8659903000002</v>
      </c>
      <c r="C42" s="17">
        <f>124761100/1000000*14.99</f>
        <v>1870.168889</v>
      </c>
      <c r="D42" s="17">
        <f>129702004/1000000*19.19</f>
        <v>2488.9814567600001</v>
      </c>
      <c r="E42" s="17">
        <f>129251552/1000000*14.56</f>
        <v>1881.9025971200001</v>
      </c>
      <c r="F42" s="17">
        <f>129227519/1000000*15.13</f>
        <v>1955.21236247</v>
      </c>
      <c r="G42" s="17">
        <f>129175792/1000000*14.98</f>
        <v>1935.05336416</v>
      </c>
      <c r="H42" s="17">
        <f>128863820/1000000*22.47</f>
        <v>2895.5700354000001</v>
      </c>
      <c r="I42" s="17">
        <f>128773470/1000000*21.45</f>
        <v>2762.1909314999998</v>
      </c>
      <c r="J42" s="17">
        <v>3517.7</v>
      </c>
      <c r="K42" s="17"/>
      <c r="L42" s="17"/>
      <c r="M42" s="17"/>
      <c r="N42" s="17"/>
      <c r="O42" s="17"/>
    </row>
    <row r="43" spans="1:15" x14ac:dyDescent="0.2">
      <c r="B43" s="16"/>
      <c r="C43" s="16"/>
      <c r="D43" s="16"/>
      <c r="E43" s="16"/>
      <c r="F43" s="16"/>
      <c r="G43" s="16"/>
      <c r="H43" s="16"/>
      <c r="I43" s="16"/>
      <c r="J43" s="16"/>
      <c r="K43" s="16"/>
      <c r="L43" s="16"/>
    </row>
    <row r="44" spans="1:15" x14ac:dyDescent="0.2">
      <c r="A44" s="15" t="s">
        <v>10</v>
      </c>
      <c r="B44" s="27">
        <v>621.6</v>
      </c>
      <c r="C44" s="27">
        <v>759</v>
      </c>
      <c r="D44" s="27">
        <v>752.1</v>
      </c>
      <c r="E44" s="27">
        <v>1276.7</v>
      </c>
      <c r="F44" s="27">
        <v>968.5</v>
      </c>
      <c r="G44" s="27">
        <v>249</v>
      </c>
      <c r="H44" s="27">
        <v>507.6</v>
      </c>
      <c r="I44" s="27">
        <v>508.6</v>
      </c>
      <c r="J44" s="27">
        <v>638</v>
      </c>
      <c r="K44" s="27"/>
      <c r="L44" s="27"/>
      <c r="M44" s="27"/>
      <c r="N44" s="27"/>
      <c r="O44" s="27"/>
    </row>
    <row r="46" spans="1:15" x14ac:dyDescent="0.2">
      <c r="A46" s="1" t="s">
        <v>9</v>
      </c>
      <c r="B46" s="13">
        <f t="shared" ref="B46:J46" si="21">SUM(B12:E12)</f>
        <v>2290.1999999999998</v>
      </c>
      <c r="C46" s="13">
        <f t="shared" si="21"/>
        <v>2123.7999999999997</v>
      </c>
      <c r="D46" s="13">
        <f t="shared" si="21"/>
        <v>2187.6999999999998</v>
      </c>
      <c r="E46" s="13">
        <f t="shared" si="21"/>
        <v>2329.4</v>
      </c>
      <c r="F46" s="13">
        <f t="shared" si="21"/>
        <v>2437.7000000000003</v>
      </c>
      <c r="G46" s="13">
        <f t="shared" si="21"/>
        <v>2737.8</v>
      </c>
      <c r="H46" s="13">
        <f t="shared" si="21"/>
        <v>2781.9</v>
      </c>
      <c r="I46" s="13">
        <f t="shared" si="21"/>
        <v>2704.3999999999996</v>
      </c>
      <c r="J46" s="13">
        <f t="shared" si="21"/>
        <v>2614.8999999999996</v>
      </c>
      <c r="K46" s="11"/>
      <c r="L46" s="11"/>
      <c r="M46" s="11"/>
      <c r="N46" s="11"/>
    </row>
    <row r="47" spans="1:15" x14ac:dyDescent="0.2">
      <c r="A47" s="1" t="s">
        <v>8</v>
      </c>
      <c r="B47" s="13">
        <f t="shared" ref="B47" si="22">B27</f>
        <v>446.4</v>
      </c>
      <c r="C47" s="13">
        <f t="shared" ref="C47:J47" si="23">C27</f>
        <v>409.9</v>
      </c>
      <c r="D47" s="13">
        <f t="shared" si="23"/>
        <v>375.29999999999995</v>
      </c>
      <c r="E47" s="13">
        <f t="shared" si="23"/>
        <v>429.79999999999995</v>
      </c>
      <c r="F47" s="13">
        <f t="shared" si="23"/>
        <v>419.8</v>
      </c>
      <c r="G47" s="13">
        <f t="shared" si="23"/>
        <v>475.69999999999993</v>
      </c>
      <c r="H47" s="13">
        <f t="shared" si="23"/>
        <v>510</v>
      </c>
      <c r="I47" s="13">
        <f t="shared" si="23"/>
        <v>498.5</v>
      </c>
      <c r="J47" s="13">
        <f t="shared" si="23"/>
        <v>495.70000000000005</v>
      </c>
      <c r="K47" s="11"/>
      <c r="L47" s="11"/>
      <c r="M47" s="11"/>
      <c r="N47" s="11"/>
    </row>
    <row r="48" spans="1:15" x14ac:dyDescent="0.2">
      <c r="A48" s="1" t="s">
        <v>7</v>
      </c>
      <c r="B48" s="13">
        <f t="shared" ref="B48:I48" si="24">SUM(B37:E37)</f>
        <v>305.8</v>
      </c>
      <c r="C48" s="13">
        <f t="shared" si="24"/>
        <v>511.79999999999995</v>
      </c>
      <c r="D48" s="13">
        <f t="shared" si="24"/>
        <v>282.99999999999994</v>
      </c>
      <c r="E48" s="13">
        <f t="shared" si="24"/>
        <v>413.29999999999995</v>
      </c>
      <c r="F48" s="13">
        <f t="shared" si="24"/>
        <v>358.09999999999997</v>
      </c>
      <c r="G48" s="13">
        <f t="shared" si="24"/>
        <v>122.7</v>
      </c>
      <c r="H48" s="13">
        <f t="shared" si="24"/>
        <v>219.2</v>
      </c>
      <c r="I48" s="13">
        <f t="shared" si="24"/>
        <v>226.60000000000002</v>
      </c>
      <c r="J48" s="12">
        <v>172</v>
      </c>
      <c r="K48" s="11"/>
      <c r="L48" s="11"/>
      <c r="M48" s="11"/>
      <c r="N48" s="11"/>
    </row>
    <row r="50" spans="1:15" s="10" customFormat="1" x14ac:dyDescent="0.2">
      <c r="A50" s="10" t="s">
        <v>6</v>
      </c>
      <c r="B50" s="10">
        <f t="shared" ref="B50" si="25">+SUM(B39:B40)/B47</f>
        <v>2.1205197132616491</v>
      </c>
      <c r="C50" s="10">
        <f t="shared" ref="C50:D50" si="26">+SUM(C39:C40)/C47</f>
        <v>2.3337399365698954</v>
      </c>
      <c r="D50" s="10">
        <f t="shared" si="26"/>
        <v>2.5390354383160143</v>
      </c>
      <c r="E50" s="10">
        <f t="shared" ref="E50:J50" si="27">+SUM(E39:E40)/E47</f>
        <v>2.2275476966030712</v>
      </c>
      <c r="F50" s="10">
        <f t="shared" si="27"/>
        <v>2.2875178656503095</v>
      </c>
      <c r="G50" s="10">
        <f t="shared" si="27"/>
        <v>2.0748370821946609</v>
      </c>
      <c r="H50" s="10">
        <f t="shared" si="27"/>
        <v>1.9496078431372548</v>
      </c>
      <c r="I50" s="10">
        <f t="shared" si="27"/>
        <v>1.9959879638916751</v>
      </c>
      <c r="J50" s="10">
        <f t="shared" si="27"/>
        <v>2.0112971555376236</v>
      </c>
    </row>
    <row r="51" spans="1:15" s="10" customFormat="1" x14ac:dyDescent="0.2">
      <c r="A51" s="10" t="s">
        <v>5</v>
      </c>
      <c r="B51" s="10">
        <f t="shared" ref="B51" si="28">+B41/B47</f>
        <v>4.248655913978495</v>
      </c>
      <c r="C51" s="10">
        <f t="shared" ref="C51:D51" si="29">+C41/C47</f>
        <v>4.6513783849719443</v>
      </c>
      <c r="D51" s="10">
        <f t="shared" si="29"/>
        <v>5.0703437250199848</v>
      </c>
      <c r="E51" s="10">
        <f t="shared" ref="E51:J51" si="30">+E41/E47</f>
        <v>4.4378780828292239</v>
      </c>
      <c r="F51" s="10">
        <f t="shared" si="30"/>
        <v>4.550500238208671</v>
      </c>
      <c r="G51" s="10">
        <f t="shared" si="30"/>
        <v>4.0718940508723991</v>
      </c>
      <c r="H51" s="10">
        <f t="shared" si="30"/>
        <v>3.8123529411764703</v>
      </c>
      <c r="I51" s="10">
        <f t="shared" si="30"/>
        <v>3.9017051153460383</v>
      </c>
      <c r="J51" s="10">
        <f t="shared" si="30"/>
        <v>3.9277788985273347</v>
      </c>
    </row>
    <row r="52" spans="1:15" s="10" customFormat="1" x14ac:dyDescent="0.2">
      <c r="A52" s="10" t="s">
        <v>4</v>
      </c>
      <c r="B52" s="10">
        <f t="shared" ref="B52" si="31">+(B41-B44)/B47</f>
        <v>2.856182795698925</v>
      </c>
      <c r="C52" s="10">
        <f t="shared" ref="C52:D52" si="32">+(C41-C44)/C47</f>
        <v>2.7997072456696754</v>
      </c>
      <c r="D52" s="10">
        <f t="shared" si="32"/>
        <v>3.0663469224620314</v>
      </c>
      <c r="E52" s="10">
        <f t="shared" ref="E52:J52" si="33">+(E41-E44)/E47</f>
        <v>1.4674267100977201</v>
      </c>
      <c r="F52" s="10">
        <f t="shared" si="33"/>
        <v>2.2434492615531205</v>
      </c>
      <c r="G52" s="10">
        <f t="shared" si="33"/>
        <v>3.5484549085558128</v>
      </c>
      <c r="H52" s="10">
        <f t="shared" si="33"/>
        <v>2.8170588235294116</v>
      </c>
      <c r="I52" s="10">
        <f t="shared" si="33"/>
        <v>2.8814443329989974</v>
      </c>
      <c r="J52" s="10">
        <f t="shared" si="33"/>
        <v>2.6407101069195074</v>
      </c>
    </row>
    <row r="53" spans="1:15" s="6" customFormat="1" x14ac:dyDescent="0.2">
      <c r="A53" s="6" t="s">
        <v>3</v>
      </c>
      <c r="B53" s="6">
        <f t="shared" ref="B53" si="34">+B48/B41</f>
        <v>0.16123589581356113</v>
      </c>
      <c r="C53" s="6">
        <f t="shared" ref="C53:D53" si="35">+C48/C41</f>
        <v>0.26843595929927616</v>
      </c>
      <c r="D53" s="6">
        <f t="shared" si="35"/>
        <v>0.14872037416574699</v>
      </c>
      <c r="E53" s="6">
        <f t="shared" ref="E53:J53" si="36">+E48/E41</f>
        <v>0.21668239488308688</v>
      </c>
      <c r="F53" s="6">
        <f t="shared" si="36"/>
        <v>0.18745746741349525</v>
      </c>
      <c r="G53" s="6">
        <f t="shared" si="36"/>
        <v>6.3345379452762002E-2</v>
      </c>
      <c r="H53" s="6">
        <f t="shared" si="36"/>
        <v>0.1127398035282621</v>
      </c>
      <c r="I53" s="6">
        <f t="shared" si="36"/>
        <v>0.11650385604113112</v>
      </c>
      <c r="J53" s="6">
        <f t="shared" si="36"/>
        <v>8.8341037493579869E-2</v>
      </c>
    </row>
    <row r="54" spans="1:15" s="6" customFormat="1" x14ac:dyDescent="0.2">
      <c r="A54" s="8" t="s">
        <v>2</v>
      </c>
      <c r="B54" s="9"/>
      <c r="C54" s="9"/>
      <c r="D54" s="9"/>
      <c r="E54" s="9"/>
      <c r="F54" s="9"/>
      <c r="G54" s="9"/>
      <c r="H54" s="9"/>
      <c r="I54" s="9"/>
      <c r="J54" s="9"/>
      <c r="K54" s="9"/>
      <c r="L54" s="9"/>
      <c r="M54" s="9"/>
      <c r="N54" s="9"/>
      <c r="O54" s="8"/>
    </row>
    <row r="55" spans="1:15" s="6" customFormat="1" x14ac:dyDescent="0.2">
      <c r="A55" s="6" t="s">
        <v>1</v>
      </c>
      <c r="B55" s="7">
        <f t="shared" ref="B55" si="37">IF(B42=0,IF(B54="","","*"&amp;TEXT(B54,"0.0x")),(B41+B42-B44)/B47)</f>
        <v>7.1547177202060945</v>
      </c>
      <c r="C55" s="7">
        <f t="shared" ref="C55:D55" si="38">IF(C42=0,IF(C54="","","*"&amp;TEXT(C54,"0.0x")),(C41+C42-C44)/C47)</f>
        <v>7.3622075847767752</v>
      </c>
      <c r="D55" s="7">
        <f t="shared" si="38"/>
        <v>9.6983252245137237</v>
      </c>
      <c r="E55" s="7">
        <f t="shared" ref="E55:J55" si="39">IF(E42=0,IF(E54="","","*"&amp;TEXT(E54,"0.0x")),(E41+E42-E44)/E47)</f>
        <v>5.8459809146579822</v>
      </c>
      <c r="F55" s="7">
        <f t="shared" si="39"/>
        <v>6.9009346414244872</v>
      </c>
      <c r="G55" s="7">
        <f t="shared" si="39"/>
        <v>7.6162568092495277</v>
      </c>
      <c r="H55" s="7">
        <f t="shared" si="39"/>
        <v>8.4946471282352931</v>
      </c>
      <c r="I55" s="7">
        <f t="shared" si="39"/>
        <v>8.4224492106318944</v>
      </c>
      <c r="J55" s="7">
        <f t="shared" si="39"/>
        <v>9.7371393988299371</v>
      </c>
      <c r="K55" s="7"/>
      <c r="L55" s="7"/>
      <c r="M55" s="7"/>
      <c r="N55" s="7"/>
      <c r="O55" s="7" t="str">
        <f t="shared" ref="O55" si="40">IF(O42=0,IF(O54="","",CONCATENATE("* ",O54,"x")),(O41+O42-O44)/O47)</f>
        <v/>
      </c>
    </row>
    <row r="56" spans="1:15" x14ac:dyDescent="0.2">
      <c r="N56" s="3"/>
    </row>
    <row r="57" spans="1:15" ht="80.25" customHeight="1" x14ac:dyDescent="0.2">
      <c r="A57" s="5" t="s">
        <v>0</v>
      </c>
      <c r="B57" s="4" t="s">
        <v>235</v>
      </c>
      <c r="C57" s="4" t="s">
        <v>235</v>
      </c>
      <c r="D57" s="4" t="s">
        <v>235</v>
      </c>
      <c r="E57" s="4" t="s">
        <v>235</v>
      </c>
      <c r="F57" s="4" t="s">
        <v>235</v>
      </c>
      <c r="G57" s="4" t="s">
        <v>235</v>
      </c>
      <c r="H57" s="4" t="s">
        <v>490</v>
      </c>
      <c r="I57" s="4" t="s">
        <v>104</v>
      </c>
      <c r="J57" s="4" t="s">
        <v>104</v>
      </c>
      <c r="K57" s="4"/>
      <c r="L57" s="4"/>
      <c r="M57" s="4"/>
      <c r="N57" s="4"/>
      <c r="O57" s="4"/>
    </row>
    <row r="58" spans="1:15" x14ac:dyDescent="0.2">
      <c r="A58" s="2"/>
      <c r="B58" s="3"/>
      <c r="C58" s="3"/>
      <c r="D58" s="3"/>
      <c r="E58" s="3"/>
      <c r="F58" s="3"/>
      <c r="G58" s="3"/>
      <c r="H58" s="3"/>
      <c r="I58" s="3"/>
      <c r="J58" s="3"/>
    </row>
    <row r="59" spans="1:15" x14ac:dyDescent="0.2">
      <c r="A59" s="2"/>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2:P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6" width="10.7109375" style="1" customWidth="1"/>
    <col min="17" max="16384" width="9.140625" style="1"/>
  </cols>
  <sheetData>
    <row r="2" spans="1:16" x14ac:dyDescent="0.2">
      <c r="A2" s="34" t="s">
        <v>45</v>
      </c>
      <c r="B2" s="1" t="s">
        <v>430</v>
      </c>
    </row>
    <row r="3" spans="1:16" s="35" customFormat="1" x14ac:dyDescent="0.2">
      <c r="A3" s="36" t="s">
        <v>43</v>
      </c>
      <c r="B3" s="35" t="s">
        <v>433</v>
      </c>
    </row>
    <row r="4" spans="1:16" x14ac:dyDescent="0.2">
      <c r="A4" s="34" t="s">
        <v>41</v>
      </c>
      <c r="B4" s="1" t="s">
        <v>40</v>
      </c>
    </row>
    <row r="5" spans="1:16" x14ac:dyDescent="0.2">
      <c r="A5" s="34" t="s">
        <v>39</v>
      </c>
    </row>
    <row r="6" spans="1:16" x14ac:dyDescent="0.2">
      <c r="A6" s="34" t="s">
        <v>38</v>
      </c>
      <c r="B6" s="1">
        <v>3</v>
      </c>
    </row>
    <row r="7" spans="1:16" x14ac:dyDescent="0.2">
      <c r="A7" s="34" t="s">
        <v>37</v>
      </c>
      <c r="B7" s="1" t="s">
        <v>432</v>
      </c>
    </row>
    <row r="8" spans="1:16" x14ac:dyDescent="0.2">
      <c r="A8" s="34" t="s">
        <v>281</v>
      </c>
      <c r="B8" s="1" t="s">
        <v>431</v>
      </c>
    </row>
    <row r="9" spans="1:16" x14ac:dyDescent="0.2">
      <c r="A9" s="22"/>
    </row>
    <row r="10" spans="1:16" x14ac:dyDescent="0.2">
      <c r="A10" s="22" t="s">
        <v>36</v>
      </c>
      <c r="B10" s="33">
        <v>44377</v>
      </c>
      <c r="C10" s="33">
        <v>44286</v>
      </c>
      <c r="D10" s="33">
        <v>44196</v>
      </c>
      <c r="E10" s="33">
        <v>44104</v>
      </c>
      <c r="F10" s="33">
        <v>44012</v>
      </c>
      <c r="G10" s="33">
        <v>43921</v>
      </c>
      <c r="H10" s="33">
        <v>43830</v>
      </c>
      <c r="I10" s="33">
        <v>43738</v>
      </c>
      <c r="J10" s="33">
        <v>43646</v>
      </c>
      <c r="K10" s="33">
        <f>EOMONTH(J10,-3)</f>
        <v>43555</v>
      </c>
      <c r="L10" s="33">
        <f t="shared" ref="L10:P10" si="0">EOMONTH(K10,-3)</f>
        <v>43465</v>
      </c>
      <c r="M10" s="33">
        <f t="shared" si="0"/>
        <v>43373</v>
      </c>
      <c r="N10" s="33">
        <f t="shared" si="0"/>
        <v>43281</v>
      </c>
      <c r="O10" s="33">
        <f t="shared" si="0"/>
        <v>43190</v>
      </c>
      <c r="P10" s="33">
        <f t="shared" si="0"/>
        <v>43100</v>
      </c>
    </row>
    <row r="12" spans="1:16" x14ac:dyDescent="0.2">
      <c r="A12" s="15" t="s">
        <v>35</v>
      </c>
      <c r="B12" s="19">
        <v>311.80900000000003</v>
      </c>
      <c r="C12" s="19">
        <v>302.17</v>
      </c>
      <c r="D12" s="19">
        <v>297.10399999999998</v>
      </c>
      <c r="E12" s="19">
        <v>307.25099999999998</v>
      </c>
      <c r="F12" s="19">
        <v>334.55699999999996</v>
      </c>
      <c r="G12" s="19">
        <v>316.49299999999999</v>
      </c>
      <c r="H12" s="19">
        <v>313.32799999999997</v>
      </c>
      <c r="I12" s="19">
        <v>327.87900000000002</v>
      </c>
      <c r="J12" s="19">
        <v>318.488</v>
      </c>
      <c r="K12" s="19">
        <v>302.14100000000002</v>
      </c>
      <c r="L12" s="19">
        <v>303.291</v>
      </c>
      <c r="M12" s="19">
        <v>311.20400000000001</v>
      </c>
      <c r="N12" s="19">
        <v>326.75700000000001</v>
      </c>
      <c r="O12" s="19">
        <v>298.15899999999999</v>
      </c>
      <c r="P12" s="19">
        <v>299.07900000000001</v>
      </c>
    </row>
    <row r="13" spans="1:16" s="28" customFormat="1" x14ac:dyDescent="0.2">
      <c r="A13" s="28" t="s">
        <v>34</v>
      </c>
      <c r="B13" s="28">
        <f t="shared" ref="B13:J13" si="1">+B12/F12-1</f>
        <v>-6.7994392584820984E-2</v>
      </c>
      <c r="C13" s="28">
        <f t="shared" si="1"/>
        <v>-4.5255345299895944E-2</v>
      </c>
      <c r="D13" s="28">
        <f t="shared" si="1"/>
        <v>-5.1779604759229936E-2</v>
      </c>
      <c r="E13" s="28">
        <f t="shared" si="1"/>
        <v>-6.291345282863503E-2</v>
      </c>
      <c r="F13" s="28">
        <f t="shared" si="1"/>
        <v>5.0454020245660702E-2</v>
      </c>
      <c r="G13" s="28">
        <f t="shared" si="1"/>
        <v>4.7501001188186898E-2</v>
      </c>
      <c r="H13" s="28">
        <f t="shared" si="1"/>
        <v>3.309362955049755E-2</v>
      </c>
      <c r="I13" s="28">
        <f t="shared" si="1"/>
        <v>5.3582216166887298E-2</v>
      </c>
      <c r="J13" s="28">
        <f t="shared" si="1"/>
        <v>-2.5306267348518929E-2</v>
      </c>
      <c r="K13" s="28">
        <f t="shared" ref="K13:L13" si="2">+K12/O12-1</f>
        <v>1.3355290298129541E-2</v>
      </c>
      <c r="L13" s="28">
        <f t="shared" si="2"/>
        <v>1.4083235533086436E-2</v>
      </c>
    </row>
    <row r="14" spans="1:16"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c r="N14" s="31"/>
      <c r="O14" s="31"/>
      <c r="P14" s="31"/>
    </row>
    <row r="16" spans="1:16" s="22" customFormat="1" x14ac:dyDescent="0.2">
      <c r="A16" s="30" t="s">
        <v>31</v>
      </c>
      <c r="B16" s="29">
        <v>48.618000000000002</v>
      </c>
      <c r="C16" s="29">
        <v>53.347000000000001</v>
      </c>
      <c r="D16" s="29">
        <v>53.271999999999998</v>
      </c>
      <c r="E16" s="29">
        <v>51.001999999999988</v>
      </c>
      <c r="F16" s="29">
        <v>53.961999999999996</v>
      </c>
      <c r="G16" s="29">
        <v>48.616</v>
      </c>
      <c r="H16" s="29">
        <v>51.426000000000002</v>
      </c>
      <c r="I16" s="29">
        <v>47.665999999999997</v>
      </c>
      <c r="J16" s="29">
        <v>41.891999999999996</v>
      </c>
      <c r="K16" s="29">
        <v>39.766999999999996</v>
      </c>
      <c r="L16" s="29">
        <v>38.341999999999999</v>
      </c>
      <c r="M16" s="29">
        <v>35.644999999999996</v>
      </c>
      <c r="N16" s="29">
        <v>38.838999999999999</v>
      </c>
      <c r="O16" s="29">
        <v>29.811</v>
      </c>
      <c r="P16" s="29">
        <v>35.996000000000002</v>
      </c>
    </row>
    <row r="17" spans="1:16" s="28" customFormat="1" x14ac:dyDescent="0.2">
      <c r="A17" s="28" t="s">
        <v>30</v>
      </c>
      <c r="B17" s="28">
        <f t="shared" ref="B17:C17" si="3">+B16/B12</f>
        <v>0.15592237555683125</v>
      </c>
      <c r="C17" s="28">
        <f t="shared" si="3"/>
        <v>0.17654631498825163</v>
      </c>
      <c r="D17" s="28">
        <f t="shared" ref="D17:J17" si="4">+D16/D12</f>
        <v>0.17930421670526145</v>
      </c>
      <c r="E17" s="28">
        <f t="shared" si="4"/>
        <v>0.16599457772309933</v>
      </c>
      <c r="F17" s="28">
        <f t="shared" si="4"/>
        <v>0.16129389012933523</v>
      </c>
      <c r="G17" s="28">
        <f t="shared" si="4"/>
        <v>0.15360845263560333</v>
      </c>
      <c r="H17" s="28">
        <f t="shared" si="4"/>
        <v>0.16412832558852067</v>
      </c>
      <c r="I17" s="28">
        <f t="shared" si="4"/>
        <v>0.14537680058802177</v>
      </c>
      <c r="J17" s="28">
        <f t="shared" si="4"/>
        <v>0.13153399814121725</v>
      </c>
      <c r="K17" s="28">
        <f t="shared" ref="K17:P17" si="5">+K16/K12</f>
        <v>0.13161735745893471</v>
      </c>
      <c r="L17" s="28">
        <f t="shared" si="5"/>
        <v>0.12641984101077841</v>
      </c>
      <c r="M17" s="28">
        <f t="shared" si="5"/>
        <v>0.11453901620801787</v>
      </c>
      <c r="N17" s="28">
        <f t="shared" si="5"/>
        <v>0.11886202896954005</v>
      </c>
      <c r="O17" s="28">
        <f t="shared" si="5"/>
        <v>9.9983565815554787E-2</v>
      </c>
      <c r="P17" s="28">
        <f t="shared" si="5"/>
        <v>0.12035616007810646</v>
      </c>
    </row>
    <row r="18" spans="1:16" s="23" customFormat="1" x14ac:dyDescent="0.2"/>
    <row r="19" spans="1:16"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row>
    <row r="20" spans="1:16"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row>
    <row r="21" spans="1:16"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row>
    <row r="22" spans="1:16" s="22" customFormat="1" x14ac:dyDescent="0.2">
      <c r="A22" s="22" t="s">
        <v>23</v>
      </c>
      <c r="B22" s="20">
        <f t="shared" ref="B22:C22" si="6">SUM(B16,B19:B21)</f>
        <v>48.618000000000002</v>
      </c>
      <c r="C22" s="20">
        <f t="shared" si="6"/>
        <v>53.347000000000001</v>
      </c>
      <c r="D22" s="20">
        <f t="shared" ref="D22:J22" si="7">SUM(D16,D19:D21)</f>
        <v>53.271999999999998</v>
      </c>
      <c r="E22" s="20">
        <f t="shared" si="7"/>
        <v>51.001999999999988</v>
      </c>
      <c r="F22" s="20">
        <f t="shared" si="7"/>
        <v>53.961999999999996</v>
      </c>
      <c r="G22" s="20">
        <f t="shared" si="7"/>
        <v>48.616</v>
      </c>
      <c r="H22" s="20">
        <f t="shared" si="7"/>
        <v>51.426000000000002</v>
      </c>
      <c r="I22" s="20">
        <f t="shared" si="7"/>
        <v>47.665999999999997</v>
      </c>
      <c r="J22" s="20">
        <f t="shared" si="7"/>
        <v>41.891999999999996</v>
      </c>
      <c r="K22" s="20">
        <f t="shared" ref="K22:P22" si="8">SUM(K16,K19:K21)</f>
        <v>39.766999999999996</v>
      </c>
      <c r="L22" s="20">
        <f t="shared" si="8"/>
        <v>38.341999999999999</v>
      </c>
      <c r="M22" s="20">
        <f t="shared" si="8"/>
        <v>35.644999999999996</v>
      </c>
      <c r="N22" s="20">
        <f t="shared" si="8"/>
        <v>38.838999999999999</v>
      </c>
      <c r="O22" s="20">
        <f t="shared" si="8"/>
        <v>29.811</v>
      </c>
      <c r="P22" s="20">
        <f t="shared" si="8"/>
        <v>35.996000000000002</v>
      </c>
    </row>
    <row r="23" spans="1:16" s="22" customFormat="1" x14ac:dyDescent="0.2">
      <c r="B23" s="20"/>
      <c r="C23" s="20"/>
      <c r="D23" s="20"/>
      <c r="E23" s="20"/>
      <c r="F23" s="20"/>
      <c r="G23" s="20"/>
      <c r="H23" s="20"/>
      <c r="I23" s="20"/>
      <c r="J23" s="20"/>
      <c r="K23" s="20"/>
      <c r="L23" s="20"/>
      <c r="M23" s="20"/>
      <c r="N23" s="20"/>
      <c r="O23" s="20"/>
      <c r="P23" s="20"/>
    </row>
    <row r="24" spans="1:16" s="22" customFormat="1" x14ac:dyDescent="0.2">
      <c r="A24" s="22" t="s">
        <v>27</v>
      </c>
      <c r="B24" s="20">
        <f t="shared" ref="B24:J24" si="9">SUM(B22:E22)</f>
        <v>206.23899999999998</v>
      </c>
      <c r="C24" s="20">
        <f t="shared" si="9"/>
        <v>211.58299999999997</v>
      </c>
      <c r="D24" s="20">
        <f t="shared" si="9"/>
        <v>206.85199999999998</v>
      </c>
      <c r="E24" s="20">
        <f t="shared" si="9"/>
        <v>205.00599999999997</v>
      </c>
      <c r="F24" s="20">
        <f t="shared" si="9"/>
        <v>201.67000000000002</v>
      </c>
      <c r="G24" s="20">
        <f t="shared" si="9"/>
        <v>189.6</v>
      </c>
      <c r="H24" s="20">
        <f t="shared" si="9"/>
        <v>180.75099999999998</v>
      </c>
      <c r="I24" s="20">
        <f t="shared" si="9"/>
        <v>167.66699999999997</v>
      </c>
      <c r="J24" s="20">
        <f t="shared" si="9"/>
        <v>155.64599999999999</v>
      </c>
      <c r="K24" s="20">
        <f t="shared" ref="K24:M24" si="10">SUM(K22:N22)</f>
        <v>152.59299999999999</v>
      </c>
      <c r="L24" s="20">
        <f t="shared" si="10"/>
        <v>142.637</v>
      </c>
      <c r="M24" s="20">
        <f t="shared" si="10"/>
        <v>140.291</v>
      </c>
      <c r="N24" s="20"/>
      <c r="O24" s="20"/>
      <c r="P24" s="20"/>
    </row>
    <row r="25" spans="1:16" s="23" customFormat="1" x14ac:dyDescent="0.2">
      <c r="A25" s="15" t="s">
        <v>26</v>
      </c>
      <c r="B25" s="27">
        <v>0</v>
      </c>
      <c r="C25" s="27">
        <v>0</v>
      </c>
      <c r="D25" s="27">
        <v>0</v>
      </c>
      <c r="E25" s="27">
        <v>0</v>
      </c>
      <c r="F25" s="27">
        <v>0</v>
      </c>
      <c r="G25" s="27">
        <v>0</v>
      </c>
      <c r="H25" s="27">
        <v>0</v>
      </c>
      <c r="I25" s="27">
        <v>0</v>
      </c>
      <c r="J25" s="27">
        <f>163.185-J26-J24</f>
        <v>7.5390000000000157</v>
      </c>
      <c r="K25" s="27">
        <v>0</v>
      </c>
      <c r="L25" s="27">
        <v>0</v>
      </c>
      <c r="M25" s="27">
        <v>0</v>
      </c>
      <c r="N25" s="27"/>
      <c r="O25" s="27"/>
      <c r="P25" s="27"/>
    </row>
    <row r="26" spans="1:16" s="23" customFormat="1" x14ac:dyDescent="0.2">
      <c r="A26" s="15" t="s">
        <v>25</v>
      </c>
      <c r="B26" s="21">
        <v>0</v>
      </c>
      <c r="C26" s="21">
        <v>0</v>
      </c>
      <c r="D26" s="21">
        <v>0</v>
      </c>
      <c r="E26" s="21">
        <v>0</v>
      </c>
      <c r="F26" s="21">
        <v>0</v>
      </c>
      <c r="G26" s="21">
        <v>0</v>
      </c>
      <c r="H26" s="21">
        <v>0</v>
      </c>
      <c r="I26" s="21">
        <v>0</v>
      </c>
      <c r="J26" s="21">
        <v>0</v>
      </c>
      <c r="K26" s="21">
        <v>0</v>
      </c>
      <c r="L26" s="21">
        <v>0</v>
      </c>
      <c r="M26" s="21">
        <v>0</v>
      </c>
      <c r="N26" s="21"/>
      <c r="O26" s="26"/>
      <c r="P26" s="26"/>
    </row>
    <row r="27" spans="1:16" s="24" customFormat="1" x14ac:dyDescent="0.2">
      <c r="A27" s="22" t="s">
        <v>24</v>
      </c>
      <c r="B27" s="20">
        <f t="shared" ref="B27:C27" si="11">SUM(B24:B26)</f>
        <v>206.23899999999998</v>
      </c>
      <c r="C27" s="20">
        <f t="shared" si="11"/>
        <v>211.58299999999997</v>
      </c>
      <c r="D27" s="20">
        <f t="shared" ref="D27:J27" si="12">SUM(D24:D26)</f>
        <v>206.85199999999998</v>
      </c>
      <c r="E27" s="20">
        <f t="shared" si="12"/>
        <v>205.00599999999997</v>
      </c>
      <c r="F27" s="20">
        <f t="shared" si="12"/>
        <v>201.67000000000002</v>
      </c>
      <c r="G27" s="20">
        <f t="shared" si="12"/>
        <v>189.6</v>
      </c>
      <c r="H27" s="20">
        <f t="shared" si="12"/>
        <v>180.75099999999998</v>
      </c>
      <c r="I27" s="20">
        <f t="shared" si="12"/>
        <v>167.66699999999997</v>
      </c>
      <c r="J27" s="20">
        <f t="shared" si="12"/>
        <v>163.185</v>
      </c>
      <c r="K27" s="20">
        <f t="shared" ref="K27:M27" si="13">SUM(K24:K26)</f>
        <v>152.59299999999999</v>
      </c>
      <c r="L27" s="20">
        <f t="shared" si="13"/>
        <v>142.637</v>
      </c>
      <c r="M27" s="20">
        <f t="shared" si="13"/>
        <v>140.291</v>
      </c>
      <c r="N27" s="20"/>
      <c r="O27" s="25"/>
      <c r="P27" s="25"/>
    </row>
    <row r="28" spans="1:16" s="23" customFormat="1" x14ac:dyDescent="0.2"/>
    <row r="29" spans="1:16" s="22" customFormat="1" x14ac:dyDescent="0.2">
      <c r="A29" s="22" t="s">
        <v>23</v>
      </c>
      <c r="B29" s="20">
        <f t="shared" ref="B29" si="14">B22</f>
        <v>48.618000000000002</v>
      </c>
      <c r="C29" s="20">
        <f t="shared" ref="C29:D29" si="15">C22</f>
        <v>53.347000000000001</v>
      </c>
      <c r="D29" s="20">
        <f t="shared" si="15"/>
        <v>53.271999999999998</v>
      </c>
      <c r="E29" s="20">
        <f t="shared" ref="E29:F29" si="16">E22</f>
        <v>51.001999999999988</v>
      </c>
      <c r="F29" s="20">
        <f t="shared" si="16"/>
        <v>53.961999999999996</v>
      </c>
      <c r="G29" s="20">
        <f t="shared" ref="G29:H29" si="17">G22</f>
        <v>48.616</v>
      </c>
      <c r="H29" s="20">
        <f t="shared" si="17"/>
        <v>51.426000000000002</v>
      </c>
      <c r="I29" s="20">
        <f t="shared" ref="I29:P29" si="18">I22</f>
        <v>47.665999999999997</v>
      </c>
      <c r="J29" s="20">
        <f t="shared" si="18"/>
        <v>41.891999999999996</v>
      </c>
      <c r="K29" s="20">
        <f t="shared" si="18"/>
        <v>39.766999999999996</v>
      </c>
      <c r="L29" s="20">
        <f t="shared" si="18"/>
        <v>38.341999999999999</v>
      </c>
      <c r="M29" s="20">
        <f t="shared" si="18"/>
        <v>35.644999999999996</v>
      </c>
      <c r="N29" s="20">
        <f t="shared" si="18"/>
        <v>38.838999999999999</v>
      </c>
      <c r="O29" s="20">
        <f t="shared" si="18"/>
        <v>29.811</v>
      </c>
      <c r="P29" s="20">
        <f t="shared" si="18"/>
        <v>35.996000000000002</v>
      </c>
    </row>
    <row r="30" spans="1:16" s="11" customFormat="1" x14ac:dyDescent="0.2">
      <c r="A30" s="19" t="s">
        <v>22</v>
      </c>
      <c r="B30" s="19">
        <v>-18.43</v>
      </c>
      <c r="C30" s="19">
        <v>-19.405999999999999</v>
      </c>
      <c r="D30" s="19">
        <v>-19.401</v>
      </c>
      <c r="E30" s="19">
        <v>-16.299999999999997</v>
      </c>
      <c r="F30" s="19">
        <v>-16.295999999999999</v>
      </c>
      <c r="G30" s="19">
        <v>-17.978000000000002</v>
      </c>
      <c r="H30" s="19">
        <v>-18.89</v>
      </c>
      <c r="I30" s="19">
        <v>-19.276</v>
      </c>
      <c r="J30" s="19">
        <v>-19.803000000000001</v>
      </c>
      <c r="K30" s="19">
        <v>-19.806000000000001</v>
      </c>
      <c r="L30" s="19">
        <v>-19.815999999999999</v>
      </c>
      <c r="M30" s="19">
        <v>-19.189000000000007</v>
      </c>
      <c r="N30" s="19">
        <v>-27.652000000000001</v>
      </c>
      <c r="O30" s="19">
        <v>-20.276</v>
      </c>
      <c r="P30" s="19">
        <v>-19.553999999999998</v>
      </c>
    </row>
    <row r="31" spans="1:16" s="11" customFormat="1" x14ac:dyDescent="0.2">
      <c r="A31" s="19" t="s">
        <v>21</v>
      </c>
      <c r="B31" s="19">
        <v>-0.40899999999999997</v>
      </c>
      <c r="C31" s="19">
        <v>-0.22</v>
      </c>
      <c r="D31" s="19">
        <v>0.14899999999999999</v>
      </c>
      <c r="E31" s="19">
        <v>0.33699999999999997</v>
      </c>
      <c r="F31" s="19">
        <v>4.0000000000000001E-3</v>
      </c>
      <c r="G31" s="19">
        <v>-0.747</v>
      </c>
      <c r="H31" s="19">
        <v>-0.153</v>
      </c>
      <c r="I31" s="19">
        <v>0.34699999999999998</v>
      </c>
      <c r="J31" s="19">
        <v>-0.106</v>
      </c>
      <c r="K31" s="19">
        <v>-3.6999999999999998E-2</v>
      </c>
      <c r="L31" s="19">
        <v>-0.499</v>
      </c>
      <c r="M31" s="19">
        <v>-3.8000000000000034E-2</v>
      </c>
      <c r="N31" s="19">
        <v>-0.16900000000000001</v>
      </c>
      <c r="O31" s="19">
        <v>-0.315</v>
      </c>
      <c r="P31" s="19">
        <v>-0.35299999999999998</v>
      </c>
    </row>
    <row r="32" spans="1:16" s="11" customFormat="1" x14ac:dyDescent="0.2">
      <c r="A32" s="19" t="s">
        <v>20</v>
      </c>
      <c r="B32" s="19">
        <v>17.917000000000002</v>
      </c>
      <c r="C32" s="19">
        <v>-12.638999999999999</v>
      </c>
      <c r="D32" s="19">
        <v>6.1179999999999986</v>
      </c>
      <c r="E32" s="19">
        <v>-15.247999999999999</v>
      </c>
      <c r="F32" s="19">
        <v>21.804000000000002</v>
      </c>
      <c r="G32" s="19">
        <v>-3.8910000000000018</v>
      </c>
      <c r="H32" s="19">
        <v>-8.9009999999999998</v>
      </c>
      <c r="I32" s="19">
        <v>4.7499999999999964</v>
      </c>
      <c r="J32" s="19">
        <v>13.965000000000003</v>
      </c>
      <c r="K32" s="19">
        <v>-18.384000000000007</v>
      </c>
      <c r="L32" s="19">
        <v>22.263000000000005</v>
      </c>
      <c r="M32" s="19">
        <v>11.719000000000001</v>
      </c>
      <c r="N32" s="19">
        <v>5.0910000000000002</v>
      </c>
      <c r="O32" s="19">
        <v>-2.9590000000000005</v>
      </c>
      <c r="P32" s="19">
        <v>-2.3739999999999997</v>
      </c>
    </row>
    <row r="33" spans="1:16"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c r="P33" s="19">
        <v>0</v>
      </c>
    </row>
    <row r="34" spans="1:16"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c r="P34" s="21">
        <v>0</v>
      </c>
    </row>
    <row r="35" spans="1:16" s="20" customFormat="1" x14ac:dyDescent="0.2">
      <c r="A35" s="20" t="s">
        <v>17</v>
      </c>
      <c r="B35" s="20">
        <v>15.276000000000003</v>
      </c>
      <c r="C35" s="20">
        <v>9.6499999999999986</v>
      </c>
      <c r="D35" s="20">
        <v>38.384999999999998</v>
      </c>
      <c r="E35" s="20">
        <v>3.1980000000000075</v>
      </c>
      <c r="F35" s="20">
        <v>58.084999999999994</v>
      </c>
      <c r="G35" s="20">
        <v>28.8</v>
      </c>
      <c r="H35" s="20">
        <v>22.181999999999999</v>
      </c>
      <c r="I35" s="20">
        <v>32.784000000000006</v>
      </c>
      <c r="J35" s="20">
        <v>36.10499999999999</v>
      </c>
      <c r="K35" s="20">
        <v>0.96500000000000341</v>
      </c>
      <c r="L35" s="20">
        <v>42.622</v>
      </c>
      <c r="M35" s="20">
        <v>23.878999999999998</v>
      </c>
      <c r="N35" s="20">
        <v>21.845000000000006</v>
      </c>
      <c r="O35" s="20">
        <v>2.6629999999999985</v>
      </c>
      <c r="P35" s="20">
        <v>10.96</v>
      </c>
    </row>
    <row r="36" spans="1:16" s="11" customFormat="1" x14ac:dyDescent="0.2">
      <c r="A36" s="19" t="s">
        <v>16</v>
      </c>
      <c r="B36" s="21">
        <v>-16.347999999999999</v>
      </c>
      <c r="C36" s="21">
        <v>-17.330000000000002</v>
      </c>
      <c r="D36" s="21">
        <v>-24.748000000000001</v>
      </c>
      <c r="E36" s="21">
        <v>-20.655000000000001</v>
      </c>
      <c r="F36" s="21">
        <v>-10.503</v>
      </c>
      <c r="G36" s="21">
        <v>-6.8910000000000018</v>
      </c>
      <c r="H36" s="21">
        <v>-27.068000000000001</v>
      </c>
      <c r="I36" s="21">
        <v>-12.415000000000003</v>
      </c>
      <c r="J36" s="21">
        <v>-9.218</v>
      </c>
      <c r="K36" s="21">
        <v>-8.1310000000000002</v>
      </c>
      <c r="L36" s="21">
        <v>-6.57</v>
      </c>
      <c r="M36" s="21">
        <v>-10.962</v>
      </c>
      <c r="N36" s="21">
        <v>-4.9209999999999994</v>
      </c>
      <c r="O36" s="21">
        <v>-5.1630000000000011</v>
      </c>
      <c r="P36" s="21">
        <v>-5.1369999999999996</v>
      </c>
    </row>
    <row r="37" spans="1:16" s="20" customFormat="1" x14ac:dyDescent="0.2">
      <c r="A37" s="20" t="s">
        <v>15</v>
      </c>
      <c r="B37" s="20">
        <f t="shared" ref="B37:J37" si="19">+B35+B36</f>
        <v>-1.0719999999999956</v>
      </c>
      <c r="C37" s="20">
        <f t="shared" si="19"/>
        <v>-7.6800000000000033</v>
      </c>
      <c r="D37" s="20">
        <f t="shared" si="19"/>
        <v>13.636999999999997</v>
      </c>
      <c r="E37" s="20">
        <f t="shared" si="19"/>
        <v>-17.456999999999994</v>
      </c>
      <c r="F37" s="20">
        <f t="shared" si="19"/>
        <v>47.581999999999994</v>
      </c>
      <c r="G37" s="20">
        <f t="shared" si="19"/>
        <v>21.908999999999999</v>
      </c>
      <c r="H37" s="20">
        <f t="shared" si="19"/>
        <v>-4.8860000000000028</v>
      </c>
      <c r="I37" s="20">
        <f t="shared" si="19"/>
        <v>20.369000000000003</v>
      </c>
      <c r="J37" s="20">
        <f t="shared" si="19"/>
        <v>26.88699999999999</v>
      </c>
      <c r="K37" s="20">
        <f t="shared" ref="K37:P37" si="20">+K35+K36</f>
        <v>-7.1659999999999968</v>
      </c>
      <c r="L37" s="20">
        <f t="shared" si="20"/>
        <v>36.052</v>
      </c>
      <c r="M37" s="20">
        <f t="shared" si="20"/>
        <v>12.916999999999998</v>
      </c>
      <c r="N37" s="20">
        <f t="shared" si="20"/>
        <v>16.924000000000007</v>
      </c>
      <c r="O37" s="20">
        <f t="shared" si="20"/>
        <v>-2.5000000000000027</v>
      </c>
      <c r="P37" s="20">
        <f t="shared" si="20"/>
        <v>5.8230000000000013</v>
      </c>
    </row>
    <row r="39" spans="1:16" s="16" customFormat="1" x14ac:dyDescent="0.2">
      <c r="A39" s="18" t="s">
        <v>14</v>
      </c>
      <c r="B39" s="19">
        <v>0</v>
      </c>
      <c r="C39" s="19">
        <v>0</v>
      </c>
      <c r="D39" s="19">
        <v>0</v>
      </c>
      <c r="E39" s="19">
        <v>0</v>
      </c>
      <c r="F39" s="19">
        <v>60</v>
      </c>
      <c r="G39" s="19">
        <v>60</v>
      </c>
      <c r="H39" s="19">
        <v>0</v>
      </c>
      <c r="I39" s="19">
        <v>0</v>
      </c>
      <c r="J39" s="19">
        <v>0</v>
      </c>
      <c r="K39" s="19"/>
      <c r="L39" s="19"/>
      <c r="M39" s="19"/>
      <c r="N39" s="19"/>
      <c r="O39" s="19"/>
      <c r="P39" s="19"/>
    </row>
    <row r="40" spans="1:16" s="16" customFormat="1" x14ac:dyDescent="0.2">
      <c r="A40" s="18" t="s">
        <v>13</v>
      </c>
      <c r="B40" s="19">
        <v>1078.2149999999999</v>
      </c>
      <c r="C40" s="19">
        <v>1081.4670000000001</v>
      </c>
      <c r="D40" s="19">
        <v>1084.48</v>
      </c>
      <c r="E40" s="19">
        <v>1085.038</v>
      </c>
      <c r="F40" s="19">
        <f>755.653-F39</f>
        <v>695.65300000000002</v>
      </c>
      <c r="G40" s="19">
        <f>757.993-G39</f>
        <v>697.99300000000005</v>
      </c>
      <c r="H40" s="19">
        <v>710.22400000000005</v>
      </c>
      <c r="I40" s="19">
        <f>701.199+11.573</f>
        <v>712.77199999999993</v>
      </c>
      <c r="J40" s="19">
        <v>713</v>
      </c>
      <c r="K40" s="19"/>
      <c r="L40" s="19"/>
      <c r="M40" s="19"/>
      <c r="N40" s="19"/>
      <c r="O40" s="19"/>
      <c r="P40" s="19"/>
    </row>
    <row r="41" spans="1:16" s="16" customFormat="1" x14ac:dyDescent="0.2">
      <c r="A41" s="18" t="s">
        <v>12</v>
      </c>
      <c r="B41" s="19">
        <f>B39+B40+250</f>
        <v>1328.2149999999999</v>
      </c>
      <c r="C41" s="19">
        <f>C39+C40+250</f>
        <v>1331.4670000000001</v>
      </c>
      <c r="D41" s="19">
        <f>D39+D40+250</f>
        <v>1334.48</v>
      </c>
      <c r="E41" s="19">
        <f>E39+E40+250</f>
        <v>1335.038</v>
      </c>
      <c r="F41" s="19">
        <f>F39+F40+221+43</f>
        <v>1019.653</v>
      </c>
      <c r="G41" s="19">
        <f>G39+G40+221+43</f>
        <v>1021.9930000000001</v>
      </c>
      <c r="H41" s="19">
        <f>H39+H40+221+43</f>
        <v>974.22400000000005</v>
      </c>
      <c r="I41" s="19">
        <f>I39+I40+221+43</f>
        <v>976.77199999999993</v>
      </c>
      <c r="J41" s="19">
        <f>J39+J40+221+43</f>
        <v>977</v>
      </c>
      <c r="K41" s="19"/>
      <c r="L41" s="19"/>
      <c r="M41" s="19"/>
      <c r="N41" s="19"/>
      <c r="O41" s="19"/>
      <c r="P41" s="19"/>
    </row>
    <row r="42" spans="1:16" s="16" customFormat="1" x14ac:dyDescent="0.2">
      <c r="A42" s="18" t="s">
        <v>11</v>
      </c>
      <c r="B42" s="17">
        <v>350</v>
      </c>
      <c r="C42" s="17">
        <v>350</v>
      </c>
      <c r="D42" s="17">
        <v>350</v>
      </c>
      <c r="E42" s="17">
        <v>350</v>
      </c>
      <c r="F42" s="17">
        <v>350</v>
      </c>
      <c r="G42" s="17">
        <v>350</v>
      </c>
      <c r="H42" s="17">
        <v>350</v>
      </c>
      <c r="I42" s="17">
        <v>350</v>
      </c>
      <c r="J42" s="17">
        <v>350</v>
      </c>
      <c r="K42" s="17"/>
      <c r="L42" s="17"/>
      <c r="M42" s="17"/>
      <c r="N42" s="17"/>
      <c r="O42" s="17"/>
      <c r="P42" s="17"/>
    </row>
    <row r="43" spans="1:16" x14ac:dyDescent="0.2">
      <c r="B43" s="16"/>
      <c r="C43" s="16"/>
      <c r="D43" s="16"/>
      <c r="E43" s="16"/>
      <c r="F43" s="16"/>
      <c r="G43" s="16"/>
      <c r="H43" s="16"/>
      <c r="I43" s="16"/>
      <c r="J43" s="16"/>
      <c r="K43" s="16"/>
      <c r="L43" s="16"/>
    </row>
    <row r="44" spans="1:16" x14ac:dyDescent="0.2">
      <c r="A44" s="15" t="s">
        <v>10</v>
      </c>
      <c r="B44" s="27">
        <v>38.904000000000003</v>
      </c>
      <c r="C44" s="27">
        <v>44.12</v>
      </c>
      <c r="D44" s="27">
        <v>54.539000000000001</v>
      </c>
      <c r="E44" s="27">
        <v>41.975999999999999</v>
      </c>
      <c r="F44" s="27">
        <v>135.149</v>
      </c>
      <c r="G44" s="27">
        <v>90.036000000000001</v>
      </c>
      <c r="H44" s="27">
        <v>21.797999999999998</v>
      </c>
      <c r="I44" s="27">
        <v>32.097999999999999</v>
      </c>
      <c r="J44" s="27">
        <v>23</v>
      </c>
      <c r="K44" s="27"/>
      <c r="L44" s="27"/>
      <c r="M44" s="27"/>
      <c r="N44" s="27"/>
      <c r="O44" s="27"/>
      <c r="P44" s="14"/>
    </row>
    <row r="46" spans="1:16" x14ac:dyDescent="0.2">
      <c r="A46" s="1" t="s">
        <v>9</v>
      </c>
      <c r="B46" s="13">
        <f t="shared" ref="B46:J46" si="21">SUM(B12:E12)</f>
        <v>1218.3340000000001</v>
      </c>
      <c r="C46" s="13">
        <f t="shared" si="21"/>
        <v>1241.0819999999999</v>
      </c>
      <c r="D46" s="13">
        <f t="shared" si="21"/>
        <v>1255.405</v>
      </c>
      <c r="E46" s="13">
        <f t="shared" si="21"/>
        <v>1271.6289999999999</v>
      </c>
      <c r="F46" s="13">
        <f t="shared" si="21"/>
        <v>1292.2570000000001</v>
      </c>
      <c r="G46" s="13">
        <f t="shared" si="21"/>
        <v>1276.1879999999999</v>
      </c>
      <c r="H46" s="13">
        <f t="shared" si="21"/>
        <v>1261.836</v>
      </c>
      <c r="I46" s="13">
        <f t="shared" si="21"/>
        <v>1251.799</v>
      </c>
      <c r="J46" s="13">
        <f t="shared" si="21"/>
        <v>1235.124</v>
      </c>
      <c r="K46" s="11"/>
      <c r="L46" s="11"/>
      <c r="M46" s="11"/>
      <c r="N46" s="11"/>
    </row>
    <row r="47" spans="1:16" x14ac:dyDescent="0.2">
      <c r="A47" s="1" t="s">
        <v>8</v>
      </c>
      <c r="B47" s="13">
        <f t="shared" ref="B47:C47" si="22">B27</f>
        <v>206.23899999999998</v>
      </c>
      <c r="C47" s="13">
        <f t="shared" si="22"/>
        <v>211.58299999999997</v>
      </c>
      <c r="D47" s="13">
        <f t="shared" ref="D47:J47" si="23">D27</f>
        <v>206.85199999999998</v>
      </c>
      <c r="E47" s="13">
        <f t="shared" si="23"/>
        <v>205.00599999999997</v>
      </c>
      <c r="F47" s="13">
        <f t="shared" si="23"/>
        <v>201.67000000000002</v>
      </c>
      <c r="G47" s="13">
        <f t="shared" si="23"/>
        <v>189.6</v>
      </c>
      <c r="H47" s="13">
        <f t="shared" si="23"/>
        <v>180.75099999999998</v>
      </c>
      <c r="I47" s="13">
        <f t="shared" si="23"/>
        <v>167.66699999999997</v>
      </c>
      <c r="J47" s="13">
        <f t="shared" si="23"/>
        <v>163.185</v>
      </c>
      <c r="K47" s="11"/>
      <c r="L47" s="11"/>
      <c r="M47" s="11"/>
      <c r="N47" s="11"/>
    </row>
    <row r="48" spans="1:16" x14ac:dyDescent="0.2">
      <c r="A48" s="1" t="s">
        <v>7</v>
      </c>
      <c r="B48" s="13">
        <f t="shared" ref="B48:I48" si="24">SUM(B37:E37)</f>
        <v>-12.571999999999996</v>
      </c>
      <c r="C48" s="13">
        <f t="shared" si="24"/>
        <v>36.081999999999994</v>
      </c>
      <c r="D48" s="13">
        <f t="shared" si="24"/>
        <v>65.670999999999992</v>
      </c>
      <c r="E48" s="13">
        <f t="shared" si="24"/>
        <v>47.147999999999996</v>
      </c>
      <c r="F48" s="13">
        <f t="shared" si="24"/>
        <v>84.97399999999999</v>
      </c>
      <c r="G48" s="13">
        <f t="shared" si="24"/>
        <v>64.278999999999982</v>
      </c>
      <c r="H48" s="13">
        <f t="shared" si="24"/>
        <v>35.203999999999994</v>
      </c>
      <c r="I48" s="13">
        <f t="shared" si="24"/>
        <v>76.141999999999996</v>
      </c>
      <c r="J48" s="12">
        <v>61.179999999999993</v>
      </c>
      <c r="K48" s="11"/>
      <c r="L48" s="11"/>
      <c r="M48" s="11"/>
      <c r="N48" s="11"/>
    </row>
    <row r="50" spans="1:16" s="10" customFormat="1" x14ac:dyDescent="0.2">
      <c r="A50" s="10" t="s">
        <v>6</v>
      </c>
      <c r="B50" s="10">
        <f t="shared" ref="B50:C50" si="25">+SUM(B39:B40)/B47</f>
        <v>5.227987916931327</v>
      </c>
      <c r="C50" s="10">
        <f t="shared" si="25"/>
        <v>5.1113132907653274</v>
      </c>
      <c r="D50" s="10">
        <f t="shared" ref="D50:J50" si="26">+SUM(D39:D40)/D47</f>
        <v>5.2427822791174377</v>
      </c>
      <c r="E50" s="10">
        <f t="shared" si="26"/>
        <v>5.2927133839985183</v>
      </c>
      <c r="F50" s="10">
        <f t="shared" si="26"/>
        <v>3.7469777359051912</v>
      </c>
      <c r="G50" s="10">
        <f t="shared" si="26"/>
        <v>3.9978533755274266</v>
      </c>
      <c r="H50" s="10">
        <f t="shared" si="26"/>
        <v>3.9292949969848032</v>
      </c>
      <c r="I50" s="10">
        <f t="shared" si="26"/>
        <v>4.2511167969844994</v>
      </c>
      <c r="J50" s="10">
        <f t="shared" si="26"/>
        <v>4.3692741367159975</v>
      </c>
    </row>
    <row r="51" spans="1:16" s="10" customFormat="1" x14ac:dyDescent="0.2">
      <c r="A51" s="10" t="s">
        <v>5</v>
      </c>
      <c r="B51" s="10">
        <f t="shared" ref="B51:C51" si="27">+B41/B47</f>
        <v>6.4401737789651818</v>
      </c>
      <c r="C51" s="10">
        <f t="shared" si="27"/>
        <v>6.292882698515478</v>
      </c>
      <c r="D51" s="10">
        <f t="shared" ref="D51:J51" si="28">+D41/D47</f>
        <v>6.4513758629358193</v>
      </c>
      <c r="E51" s="10">
        <f t="shared" si="28"/>
        <v>6.5121898871252561</v>
      </c>
      <c r="F51" s="10">
        <f t="shared" si="28"/>
        <v>5.0560470074874795</v>
      </c>
      <c r="G51" s="10">
        <f t="shared" si="28"/>
        <v>5.3902584388185657</v>
      </c>
      <c r="H51" s="10">
        <f t="shared" si="28"/>
        <v>5.3898678292236291</v>
      </c>
      <c r="I51" s="10">
        <f t="shared" si="28"/>
        <v>5.8256663505639157</v>
      </c>
      <c r="J51" s="10">
        <f t="shared" si="28"/>
        <v>5.9870698900021448</v>
      </c>
    </row>
    <row r="52" spans="1:16" s="10" customFormat="1" x14ac:dyDescent="0.2">
      <c r="A52" s="10" t="s">
        <v>4</v>
      </c>
      <c r="B52" s="10">
        <f t="shared" ref="B52:C52" si="29">+(B41-B44)/B47</f>
        <v>6.2515382638589214</v>
      </c>
      <c r="C52" s="10">
        <f t="shared" si="29"/>
        <v>6.0843593294357312</v>
      </c>
      <c r="D52" s="10">
        <f t="shared" ref="D52:J52" si="30">+(D41-D44)/D47</f>
        <v>6.1877139210643364</v>
      </c>
      <c r="E52" s="10">
        <f t="shared" si="30"/>
        <v>6.3074349043442632</v>
      </c>
      <c r="F52" s="10">
        <f t="shared" si="30"/>
        <v>4.3858977537561357</v>
      </c>
      <c r="G52" s="10">
        <f t="shared" si="30"/>
        <v>4.9153850210970473</v>
      </c>
      <c r="H52" s="10">
        <f t="shared" si="30"/>
        <v>5.2692709860526366</v>
      </c>
      <c r="I52" s="10">
        <f t="shared" si="30"/>
        <v>5.6342273673412189</v>
      </c>
      <c r="J52" s="10">
        <f t="shared" si="30"/>
        <v>5.8461255630113058</v>
      </c>
    </row>
    <row r="53" spans="1:16" s="6" customFormat="1" x14ac:dyDescent="0.2">
      <c r="A53" s="6" t="s">
        <v>3</v>
      </c>
      <c r="B53" s="6">
        <f t="shared" ref="B53:C53" si="31">+B48/B41</f>
        <v>-9.4653350549421568E-3</v>
      </c>
      <c r="C53" s="6">
        <f t="shared" si="31"/>
        <v>2.7099432430544648E-2</v>
      </c>
      <c r="D53" s="6">
        <f t="shared" ref="D53:J53" si="32">+D48/D41</f>
        <v>4.921092860140279E-2</v>
      </c>
      <c r="E53" s="6">
        <f t="shared" si="32"/>
        <v>3.5315848687453091E-2</v>
      </c>
      <c r="F53" s="6">
        <f t="shared" si="32"/>
        <v>8.3336193783571461E-2</v>
      </c>
      <c r="G53" s="6">
        <f t="shared" si="32"/>
        <v>6.2895734119509605E-2</v>
      </c>
      <c r="H53" s="6">
        <f t="shared" si="32"/>
        <v>3.613542676017014E-2</v>
      </c>
      <c r="I53" s="6">
        <f t="shared" si="32"/>
        <v>7.7952684966399524E-2</v>
      </c>
      <c r="J53" s="6">
        <f t="shared" si="32"/>
        <v>6.2620266120777882E-2</v>
      </c>
    </row>
    <row r="54" spans="1:16" s="6" customFormat="1" x14ac:dyDescent="0.2">
      <c r="A54" s="8" t="s">
        <v>2</v>
      </c>
      <c r="B54" s="9"/>
      <c r="C54" s="9"/>
      <c r="D54" s="9"/>
      <c r="E54" s="9"/>
      <c r="F54" s="9"/>
      <c r="G54" s="9"/>
      <c r="H54" s="9"/>
      <c r="I54" s="9"/>
      <c r="J54" s="9"/>
      <c r="K54" s="9"/>
      <c r="L54" s="9"/>
      <c r="M54" s="9"/>
      <c r="N54" s="9"/>
      <c r="O54" s="8"/>
      <c r="P54" s="8"/>
    </row>
    <row r="55" spans="1:16" s="6" customFormat="1" x14ac:dyDescent="0.2">
      <c r="A55" s="6" t="s">
        <v>1</v>
      </c>
      <c r="B55" s="7">
        <f t="shared" ref="B55:C55" si="33">IF(B42=0,IF(B54="","","*"&amp;TEXT(B54,"0.0x")),(B41+B42-B44)/B47)</f>
        <v>7.9485984707063171</v>
      </c>
      <c r="C55" s="7">
        <f t="shared" si="33"/>
        <v>7.7385565002859416</v>
      </c>
      <c r="D55" s="7">
        <f t="shared" ref="D55:J55" si="34">IF(D42=0,IF(D54="","","*"&amp;TEXT(D54,"0.0x")),(D41+D42-D44)/D47)</f>
        <v>7.879744938410072</v>
      </c>
      <c r="E55" s="7">
        <f t="shared" si="34"/>
        <v>8.0147020087216969</v>
      </c>
      <c r="F55" s="7">
        <f t="shared" si="34"/>
        <v>6.1214062577478048</v>
      </c>
      <c r="G55" s="7">
        <f t="shared" si="34"/>
        <v>6.7613765822784808</v>
      </c>
      <c r="H55" s="7">
        <f t="shared" si="34"/>
        <v>7.2056364833389601</v>
      </c>
      <c r="I55" s="7">
        <f t="shared" si="34"/>
        <v>7.7216983664048389</v>
      </c>
      <c r="J55" s="7">
        <f t="shared" si="34"/>
        <v>7.9909305389588505</v>
      </c>
      <c r="K55" s="7"/>
      <c r="L55" s="7"/>
      <c r="M55" s="7"/>
      <c r="N55" s="7"/>
      <c r="O55" s="7" t="str">
        <f t="shared" ref="O55:P55" si="35">IF(O42=0,IF(O54="","",CONCATENATE("* ",O54,"x")),(O41+O42-O44)/O47)</f>
        <v/>
      </c>
      <c r="P55" s="7" t="str">
        <f t="shared" si="35"/>
        <v/>
      </c>
    </row>
    <row r="56" spans="1:16" x14ac:dyDescent="0.2">
      <c r="N56" s="3"/>
    </row>
    <row r="57" spans="1:16" ht="80.25" customHeight="1" x14ac:dyDescent="0.2">
      <c r="A57" s="5" t="s">
        <v>0</v>
      </c>
      <c r="B57" s="4" t="s">
        <v>104</v>
      </c>
      <c r="C57" s="4" t="s">
        <v>104</v>
      </c>
      <c r="D57" s="4" t="s">
        <v>104</v>
      </c>
      <c r="E57" s="4" t="s">
        <v>104</v>
      </c>
      <c r="F57" s="4" t="s">
        <v>104</v>
      </c>
      <c r="G57" s="4" t="s">
        <v>104</v>
      </c>
      <c r="H57" s="4" t="s">
        <v>104</v>
      </c>
      <c r="I57" s="4" t="s">
        <v>104</v>
      </c>
      <c r="J57" s="4" t="s">
        <v>104</v>
      </c>
      <c r="K57" s="4"/>
      <c r="L57" s="4"/>
      <c r="M57" s="4"/>
      <c r="N57" s="4"/>
      <c r="O57" s="4"/>
      <c r="P57" s="4"/>
    </row>
    <row r="58" spans="1:16" x14ac:dyDescent="0.2">
      <c r="A58" s="2"/>
      <c r="B58" s="3"/>
      <c r="C58" s="3"/>
      <c r="D58" s="3"/>
      <c r="E58" s="3"/>
      <c r="F58" s="3"/>
      <c r="G58" s="3"/>
      <c r="H58" s="3"/>
      <c r="I58" s="3"/>
      <c r="J58" s="3"/>
    </row>
    <row r="59" spans="1:16" x14ac:dyDescent="0.2">
      <c r="A59" s="2"/>
    </row>
  </sheetData>
  <pageMargins left="0.7" right="0.7" top="0.75" bottom="0.75" header="0.3" footer="0.3"/>
  <pageSetup orientation="portrait" r:id="rId1"/>
  <ignoredErrors>
    <ignoredError sqref="J46:J47 H46:I46" formulaRange="1"/>
  </ignoredErrors>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440</v>
      </c>
    </row>
    <row r="3" spans="1:9" s="35" customFormat="1" x14ac:dyDescent="0.2">
      <c r="A3" s="36" t="s">
        <v>43</v>
      </c>
      <c r="B3" s="35" t="s">
        <v>441</v>
      </c>
    </row>
    <row r="4" spans="1:9" x14ac:dyDescent="0.2">
      <c r="A4" s="34" t="s">
        <v>41</v>
      </c>
      <c r="B4" s="1" t="s">
        <v>40</v>
      </c>
    </row>
    <row r="5" spans="1:9" x14ac:dyDescent="0.2">
      <c r="A5" s="34" t="s">
        <v>39</v>
      </c>
    </row>
    <row r="6" spans="1:9" x14ac:dyDescent="0.2">
      <c r="A6" s="34" t="s">
        <v>38</v>
      </c>
      <c r="B6" s="1">
        <v>2</v>
      </c>
    </row>
    <row r="7" spans="1:9" x14ac:dyDescent="0.2">
      <c r="A7" s="34" t="s">
        <v>37</v>
      </c>
      <c r="B7" s="1" t="s">
        <v>321</v>
      </c>
    </row>
    <row r="8" spans="1:9" x14ac:dyDescent="0.2">
      <c r="A8" s="34" t="s">
        <v>281</v>
      </c>
      <c r="B8" s="1" t="s">
        <v>321</v>
      </c>
    </row>
    <row r="9" spans="1:9" x14ac:dyDescent="0.2">
      <c r="A9" s="22"/>
    </row>
    <row r="10" spans="1:9" x14ac:dyDescent="0.2">
      <c r="A10" s="22" t="s">
        <v>36</v>
      </c>
      <c r="B10" s="33">
        <v>44227</v>
      </c>
      <c r="C10" s="33">
        <v>44136</v>
      </c>
      <c r="D10" s="33">
        <v>44043</v>
      </c>
      <c r="E10" s="33">
        <v>43951</v>
      </c>
      <c r="F10" s="33">
        <v>43856</v>
      </c>
      <c r="G10" s="33">
        <v>43765</v>
      </c>
      <c r="H10" s="33">
        <f>EOMONTH(G10,-3)</f>
        <v>43677</v>
      </c>
      <c r="I10" s="33">
        <f>EOMONTH(H10,-3)</f>
        <v>43585</v>
      </c>
    </row>
    <row r="12" spans="1:9" x14ac:dyDescent="0.2">
      <c r="A12" s="15" t="s">
        <v>35</v>
      </c>
      <c r="B12" s="19">
        <v>295.5</v>
      </c>
      <c r="C12" s="19">
        <v>331.6</v>
      </c>
      <c r="D12" s="19"/>
      <c r="E12" s="19">
        <v>235.3</v>
      </c>
      <c r="F12" s="19">
        <v>203.5</v>
      </c>
      <c r="G12" s="19">
        <v>201.4</v>
      </c>
      <c r="H12" s="19"/>
      <c r="I12" s="19"/>
    </row>
    <row r="13" spans="1:9" s="28" customFormat="1" x14ac:dyDescent="0.2">
      <c r="A13" s="28" t="s">
        <v>34</v>
      </c>
    </row>
    <row r="14" spans="1:9" s="23" customFormat="1" x14ac:dyDescent="0.2">
      <c r="A14" s="31" t="s">
        <v>33</v>
      </c>
      <c r="B14" s="32" t="s">
        <v>32</v>
      </c>
      <c r="C14" s="32" t="s">
        <v>32</v>
      </c>
      <c r="D14" s="32"/>
      <c r="E14" s="32" t="s">
        <v>32</v>
      </c>
      <c r="F14" s="32" t="s">
        <v>32</v>
      </c>
      <c r="G14" s="32" t="s">
        <v>32</v>
      </c>
      <c r="H14" s="32"/>
      <c r="I14" s="32"/>
    </row>
    <row r="16" spans="1:9" s="22" customFormat="1" x14ac:dyDescent="0.2">
      <c r="A16" s="30" t="s">
        <v>31</v>
      </c>
      <c r="B16" s="29">
        <v>57.2</v>
      </c>
      <c r="C16" s="29">
        <v>69.099999999999994</v>
      </c>
      <c r="D16" s="29">
        <v>43.7</v>
      </c>
      <c r="E16" s="29">
        <v>77.099999999999994</v>
      </c>
      <c r="F16" s="29">
        <v>32.4</v>
      </c>
      <c r="G16" s="29">
        <v>31.2</v>
      </c>
      <c r="H16" s="29">
        <v>36</v>
      </c>
      <c r="I16" s="29">
        <v>31.6</v>
      </c>
    </row>
    <row r="17" spans="1:9" s="28" customFormat="1" x14ac:dyDescent="0.2">
      <c r="A17" s="28" t="s">
        <v>30</v>
      </c>
      <c r="B17" s="28">
        <f t="shared" ref="B17:G17" si="0">+B16/B12</f>
        <v>0.19357021996615906</v>
      </c>
      <c r="C17" s="28">
        <f t="shared" si="0"/>
        <v>0.20838359469240045</v>
      </c>
      <c r="D17" s="28" t="e">
        <f t="shared" si="0"/>
        <v>#DIV/0!</v>
      </c>
      <c r="E17" s="28">
        <f t="shared" si="0"/>
        <v>0.32766680832979173</v>
      </c>
      <c r="F17" s="28">
        <f t="shared" si="0"/>
        <v>0.15921375921375922</v>
      </c>
      <c r="G17" s="28">
        <f t="shared" si="0"/>
        <v>0.15491559086395232</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 t="shared" ref="B22:I22" si="1">SUM(B16,B19:B21)</f>
        <v>57.2</v>
      </c>
      <c r="C22" s="20">
        <f t="shared" si="1"/>
        <v>69.099999999999994</v>
      </c>
      <c r="D22" s="20">
        <f t="shared" si="1"/>
        <v>43.7</v>
      </c>
      <c r="E22" s="20">
        <f t="shared" si="1"/>
        <v>77.099999999999994</v>
      </c>
      <c r="F22" s="20">
        <f t="shared" si="1"/>
        <v>32.4</v>
      </c>
      <c r="G22" s="20">
        <f t="shared" si="1"/>
        <v>31.2</v>
      </c>
      <c r="H22" s="20">
        <f t="shared" si="1"/>
        <v>36</v>
      </c>
      <c r="I22" s="20">
        <f t="shared" si="1"/>
        <v>31.6</v>
      </c>
    </row>
    <row r="23" spans="1:9" s="22" customFormat="1" x14ac:dyDescent="0.2">
      <c r="B23" s="20"/>
      <c r="C23" s="20"/>
      <c r="D23" s="20"/>
      <c r="E23" s="20"/>
      <c r="F23" s="20"/>
      <c r="G23" s="20"/>
      <c r="H23" s="20"/>
      <c r="I23" s="20"/>
    </row>
    <row r="24" spans="1:9" s="22" customFormat="1" x14ac:dyDescent="0.2">
      <c r="A24" s="22" t="s">
        <v>27</v>
      </c>
      <c r="B24" s="63">
        <f>SUM(B22:E22)</f>
        <v>247.1</v>
      </c>
      <c r="C24" s="61">
        <v>223.9</v>
      </c>
      <c r="D24" s="20"/>
      <c r="E24" s="20">
        <f>SUM(E22:H22)</f>
        <v>176.7</v>
      </c>
      <c r="F24" s="20">
        <f>SUM(F22:I22)</f>
        <v>131.19999999999999</v>
      </c>
      <c r="G24" s="20"/>
      <c r="H24" s="20"/>
      <c r="I24" s="20"/>
    </row>
    <row r="25" spans="1:9" s="23" customFormat="1" x14ac:dyDescent="0.2">
      <c r="A25" s="15" t="s">
        <v>26</v>
      </c>
      <c r="B25" s="27">
        <f>254.7-B24</f>
        <v>7.5999999999999943</v>
      </c>
      <c r="C25" s="27">
        <v>0</v>
      </c>
      <c r="D25" s="27"/>
      <c r="E25" s="27">
        <v>0</v>
      </c>
      <c r="F25" s="27">
        <f>131.1-F24</f>
        <v>-9.9999999999994316E-2</v>
      </c>
      <c r="G25" s="27"/>
      <c r="H25" s="27"/>
      <c r="I25" s="27"/>
    </row>
    <row r="26" spans="1:9" s="23" customFormat="1" x14ac:dyDescent="0.2">
      <c r="A26" s="15" t="s">
        <v>25</v>
      </c>
      <c r="B26" s="21">
        <v>0</v>
      </c>
      <c r="C26" s="21">
        <v>0</v>
      </c>
      <c r="D26" s="21"/>
      <c r="E26" s="21">
        <v>0</v>
      </c>
      <c r="F26" s="21">
        <v>0</v>
      </c>
      <c r="G26" s="21"/>
      <c r="H26" s="21"/>
      <c r="I26" s="21"/>
    </row>
    <row r="27" spans="1:9" s="24" customFormat="1" x14ac:dyDescent="0.2">
      <c r="A27" s="22" t="s">
        <v>24</v>
      </c>
      <c r="B27" s="20">
        <f>SUM(B24:B26)</f>
        <v>254.7</v>
      </c>
      <c r="C27" s="20">
        <f>SUM(C24:C26)</f>
        <v>223.9</v>
      </c>
      <c r="D27" s="20"/>
      <c r="E27" s="20">
        <f>SUM(E24:E26)</f>
        <v>176.7</v>
      </c>
      <c r="F27" s="20">
        <f>SUM(F24:F26)</f>
        <v>131.1</v>
      </c>
      <c r="G27" s="20"/>
      <c r="H27" s="20"/>
      <c r="I27" s="20"/>
    </row>
    <row r="28" spans="1:9" s="23" customFormat="1" x14ac:dyDescent="0.2"/>
    <row r="29" spans="1:9" s="22" customFormat="1" x14ac:dyDescent="0.2">
      <c r="A29" s="22" t="s">
        <v>23</v>
      </c>
      <c r="B29" s="20">
        <f t="shared" ref="B29:D29" si="2">B22</f>
        <v>57.2</v>
      </c>
      <c r="C29" s="20">
        <f t="shared" si="2"/>
        <v>69.099999999999994</v>
      </c>
      <c r="D29" s="20">
        <f t="shared" si="2"/>
        <v>43.7</v>
      </c>
      <c r="E29" s="20">
        <f t="shared" ref="E29:F29" si="3">E22</f>
        <v>77.099999999999994</v>
      </c>
      <c r="F29" s="20">
        <f t="shared" si="3"/>
        <v>32.4</v>
      </c>
      <c r="G29" s="20">
        <f t="shared" ref="G29" si="4">G22</f>
        <v>31.2</v>
      </c>
      <c r="H29" s="20"/>
      <c r="I29" s="20"/>
    </row>
    <row r="30" spans="1:9" s="11" customFormat="1" x14ac:dyDescent="0.2">
      <c r="A30" s="19" t="s">
        <v>22</v>
      </c>
      <c r="B30" s="19">
        <v>-38.5</v>
      </c>
      <c r="C30" s="19">
        <v>-26.7</v>
      </c>
      <c r="D30" s="19"/>
      <c r="E30" s="19">
        <v>-17.100000000000001</v>
      </c>
      <c r="F30" s="19">
        <v>-3</v>
      </c>
      <c r="G30" s="19">
        <v>-1.4</v>
      </c>
      <c r="H30" s="19"/>
      <c r="I30" s="19"/>
    </row>
    <row r="31" spans="1:9" s="11" customFormat="1" x14ac:dyDescent="0.2">
      <c r="A31" s="19" t="s">
        <v>21</v>
      </c>
      <c r="B31" s="19">
        <v>-3.6</v>
      </c>
      <c r="C31" s="19">
        <v>-10.1</v>
      </c>
      <c r="D31" s="19"/>
      <c r="E31" s="19">
        <v>-2</v>
      </c>
      <c r="F31" s="19">
        <v>-12.5</v>
      </c>
      <c r="G31" s="19">
        <v>-7.1</v>
      </c>
      <c r="H31" s="19"/>
      <c r="I31" s="19"/>
    </row>
    <row r="32" spans="1:9" s="11" customFormat="1" x14ac:dyDescent="0.2">
      <c r="A32" s="19" t="s">
        <v>20</v>
      </c>
      <c r="B32" s="19"/>
      <c r="C32" s="19"/>
      <c r="D32" s="19"/>
      <c r="E32" s="19">
        <v>-1.5</v>
      </c>
      <c r="F32" s="19">
        <v>2.5</v>
      </c>
      <c r="G32" s="19">
        <v>-14.3</v>
      </c>
      <c r="H32" s="19"/>
      <c r="I32" s="19"/>
    </row>
    <row r="33" spans="1:9" s="11" customFormat="1" x14ac:dyDescent="0.2">
      <c r="A33" s="19" t="s">
        <v>19</v>
      </c>
      <c r="B33" s="19"/>
      <c r="C33" s="19"/>
      <c r="D33" s="19"/>
      <c r="E33" s="19">
        <v>0</v>
      </c>
      <c r="F33" s="19">
        <v>0</v>
      </c>
      <c r="G33" s="19">
        <v>0</v>
      </c>
      <c r="H33" s="19"/>
      <c r="I33" s="19"/>
    </row>
    <row r="34" spans="1:9" s="11" customFormat="1" x14ac:dyDescent="0.2">
      <c r="A34" s="19" t="s">
        <v>18</v>
      </c>
      <c r="B34" s="21"/>
      <c r="C34" s="21"/>
      <c r="D34" s="21"/>
      <c r="E34" s="21">
        <v>0</v>
      </c>
      <c r="F34" s="21">
        <v>0</v>
      </c>
      <c r="G34" s="21">
        <v>0</v>
      </c>
      <c r="H34" s="21"/>
      <c r="I34" s="21"/>
    </row>
    <row r="35" spans="1:9" s="20" customFormat="1" x14ac:dyDescent="0.2">
      <c r="A35" s="20" t="s">
        <v>17</v>
      </c>
      <c r="B35" s="20">
        <v>13.6</v>
      </c>
      <c r="C35" s="20">
        <v>-2.7</v>
      </c>
      <c r="E35" s="20">
        <v>-1</v>
      </c>
      <c r="F35" s="20">
        <v>-14.8</v>
      </c>
      <c r="G35" s="20">
        <v>14.4</v>
      </c>
    </row>
    <row r="36" spans="1:9" s="11" customFormat="1" x14ac:dyDescent="0.2">
      <c r="A36" s="19" t="s">
        <v>16</v>
      </c>
      <c r="B36" s="21">
        <v>-10.9</v>
      </c>
      <c r="C36" s="21">
        <v>-8.3000000000000007</v>
      </c>
      <c r="D36" s="21"/>
      <c r="E36" s="21">
        <v>-10.4</v>
      </c>
      <c r="F36" s="21">
        <v>-11.3</v>
      </c>
      <c r="G36" s="21">
        <v>-13.2</v>
      </c>
      <c r="H36" s="21"/>
      <c r="I36" s="21"/>
    </row>
    <row r="37" spans="1:9" s="20" customFormat="1" x14ac:dyDescent="0.2">
      <c r="A37" s="20" t="s">
        <v>15</v>
      </c>
      <c r="B37" s="20">
        <f>+B35+B36</f>
        <v>2.6999999999999993</v>
      </c>
      <c r="C37" s="20">
        <f>+C35+C36</f>
        <v>-11</v>
      </c>
      <c r="E37" s="20">
        <f>+E35+E36</f>
        <v>-11.4</v>
      </c>
      <c r="F37" s="20">
        <f>+F35+F36</f>
        <v>-26.1</v>
      </c>
      <c r="G37" s="20">
        <f>+G35+G36</f>
        <v>1.2000000000000011</v>
      </c>
    </row>
    <row r="39" spans="1:9" s="16" customFormat="1" x14ac:dyDescent="0.2">
      <c r="A39" s="18" t="s">
        <v>14</v>
      </c>
      <c r="B39" s="19">
        <v>15</v>
      </c>
      <c r="C39" s="19">
        <v>0</v>
      </c>
      <c r="D39" s="19"/>
      <c r="E39" s="19">
        <v>0</v>
      </c>
      <c r="F39" s="19">
        <v>0</v>
      </c>
      <c r="G39" s="19"/>
      <c r="H39" s="19">
        <v>0</v>
      </c>
      <c r="I39" s="19"/>
    </row>
    <row r="40" spans="1:9" s="16" customFormat="1" x14ac:dyDescent="0.2">
      <c r="A40" s="18" t="s">
        <v>13</v>
      </c>
      <c r="B40" s="19">
        <f>562.3+480.2+315+90</f>
        <v>1447.5</v>
      </c>
      <c r="C40" s="19">
        <v>1061.2</v>
      </c>
      <c r="D40" s="19"/>
      <c r="E40" s="19">
        <v>768.1</v>
      </c>
      <c r="F40" s="19">
        <v>770</v>
      </c>
      <c r="G40" s="19"/>
      <c r="H40" s="19">
        <f>500+205+65</f>
        <v>770</v>
      </c>
      <c r="I40" s="19"/>
    </row>
    <row r="41" spans="1:9" s="16" customFormat="1" x14ac:dyDescent="0.2">
      <c r="A41" s="18" t="s">
        <v>12</v>
      </c>
      <c r="B41" s="19">
        <f>B39+B40</f>
        <v>1462.5</v>
      </c>
      <c r="C41" s="19">
        <f>C39+C40+315</f>
        <v>1376.2</v>
      </c>
      <c r="D41" s="19"/>
      <c r="E41" s="19">
        <f>E39+E40+210</f>
        <v>978.1</v>
      </c>
      <c r="F41" s="19">
        <f>F39+F40+210</f>
        <v>980</v>
      </c>
      <c r="G41" s="19"/>
      <c r="H41" s="19">
        <f>H39+H40+210</f>
        <v>980</v>
      </c>
      <c r="I41" s="19"/>
    </row>
    <row r="42" spans="1:9" s="16" customFormat="1" x14ac:dyDescent="0.2">
      <c r="A42" s="18" t="s">
        <v>11</v>
      </c>
      <c r="B42" s="17"/>
      <c r="C42" s="17"/>
      <c r="D42" s="17"/>
      <c r="E42" s="17">
        <v>850</v>
      </c>
      <c r="F42" s="17">
        <v>850</v>
      </c>
      <c r="G42" s="17"/>
      <c r="H42" s="17">
        <v>850</v>
      </c>
      <c r="I42" s="17"/>
    </row>
    <row r="43" spans="1:9" x14ac:dyDescent="0.2">
      <c r="B43" s="16"/>
      <c r="C43" s="16"/>
      <c r="D43" s="16"/>
      <c r="E43" s="16"/>
      <c r="F43" s="16"/>
      <c r="G43" s="16"/>
      <c r="H43" s="16"/>
      <c r="I43" s="16"/>
    </row>
    <row r="44" spans="1:9" x14ac:dyDescent="0.2">
      <c r="A44" s="15" t="s">
        <v>10</v>
      </c>
      <c r="B44" s="27">
        <v>135.4</v>
      </c>
      <c r="C44" s="27">
        <v>119.9</v>
      </c>
      <c r="D44" s="27">
        <v>158.5</v>
      </c>
      <c r="E44" s="27">
        <v>97.9</v>
      </c>
      <c r="F44" s="27">
        <v>166.1</v>
      </c>
      <c r="G44" s="27"/>
      <c r="H44" s="27">
        <v>0</v>
      </c>
      <c r="I44" s="27"/>
    </row>
    <row r="46" spans="1:9" x14ac:dyDescent="0.2">
      <c r="A46" s="1" t="s">
        <v>9</v>
      </c>
      <c r="B46" s="13"/>
      <c r="C46" s="13"/>
      <c r="D46" s="13"/>
      <c r="E46" s="13">
        <f>(E12+F12+G12)/3*4</f>
        <v>853.6</v>
      </c>
      <c r="F46" s="13">
        <f>(F12+G12)/2*4</f>
        <v>809.8</v>
      </c>
      <c r="G46" s="12"/>
      <c r="H46" s="12">
        <v>881.4</v>
      </c>
      <c r="I46" s="11"/>
    </row>
    <row r="47" spans="1:9" x14ac:dyDescent="0.2">
      <c r="A47" s="1" t="s">
        <v>8</v>
      </c>
      <c r="B47" s="13">
        <f>B27</f>
        <v>254.7</v>
      </c>
      <c r="C47" s="13">
        <f>C27</f>
        <v>223.9</v>
      </c>
      <c r="D47" s="13"/>
      <c r="E47" s="13">
        <f>E27</f>
        <v>176.7</v>
      </c>
      <c r="F47" s="13">
        <f>F27</f>
        <v>131.1</v>
      </c>
      <c r="G47" s="12"/>
      <c r="H47" s="12">
        <v>140.69999999999999</v>
      </c>
      <c r="I47" s="11"/>
    </row>
    <row r="48" spans="1:9" x14ac:dyDescent="0.2">
      <c r="A48" s="1" t="s">
        <v>7</v>
      </c>
      <c r="B48" s="12"/>
      <c r="C48" s="12"/>
      <c r="D48" s="12"/>
      <c r="E48" s="12"/>
      <c r="F48" s="12"/>
      <c r="G48" s="12"/>
      <c r="H48" s="12">
        <v>30.707499999999996</v>
      </c>
      <c r="I48" s="11"/>
    </row>
    <row r="50" spans="1:9" s="10" customFormat="1" x14ac:dyDescent="0.2">
      <c r="A50" s="10" t="s">
        <v>6</v>
      </c>
      <c r="B50" s="10">
        <f>+SUM(B39:B40)/B47</f>
        <v>5.7420494699646643</v>
      </c>
      <c r="C50" s="10">
        <f>+SUM(C39:C40)/C47</f>
        <v>4.7396158999553375</v>
      </c>
      <c r="E50" s="10">
        <f>+SUM(E39:E40)/E47</f>
        <v>4.3469156762874936</v>
      </c>
      <c r="F50" s="10">
        <f>+SUM(F39:F40)/F47</f>
        <v>5.8733790999237225</v>
      </c>
      <c r="H50" s="10">
        <f>+SUM(H39:H40)/H47</f>
        <v>5.4726368159203984</v>
      </c>
    </row>
    <row r="51" spans="1:9" s="10" customFormat="1" x14ac:dyDescent="0.2">
      <c r="A51" s="10" t="s">
        <v>5</v>
      </c>
      <c r="B51" s="10">
        <f>+B41/B47</f>
        <v>5.7420494699646643</v>
      </c>
      <c r="C51" s="10">
        <f>+C41/C47</f>
        <v>6.1464939705225552</v>
      </c>
      <c r="E51" s="10">
        <f>+E41/E47</f>
        <v>5.5353706847764581</v>
      </c>
      <c r="F51" s="10">
        <f>+F41/F47</f>
        <v>7.4752097635392829</v>
      </c>
      <c r="H51" s="10">
        <f>+H41/H47</f>
        <v>6.9651741293532341</v>
      </c>
    </row>
    <row r="52" spans="1:9" s="10" customFormat="1" x14ac:dyDescent="0.2">
      <c r="A52" s="10" t="s">
        <v>4</v>
      </c>
      <c r="B52" s="10">
        <f>+(B41-B44)/B47</f>
        <v>5.2104436592069101</v>
      </c>
      <c r="C52" s="10">
        <f>+(C41-C44)/C47</f>
        <v>5.610987047789191</v>
      </c>
      <c r="E52" s="10">
        <f>+(E41-E44)/E47</f>
        <v>4.9813242784380307</v>
      </c>
      <c r="F52" s="10">
        <f>+(F41-F44)/F47</f>
        <v>6.2082379862700225</v>
      </c>
      <c r="H52" s="10">
        <f>+(H41-H44)/H47</f>
        <v>6.9651741293532341</v>
      </c>
    </row>
    <row r="53" spans="1:9" s="6" customFormat="1" x14ac:dyDescent="0.2">
      <c r="A53" s="6" t="s">
        <v>3</v>
      </c>
      <c r="B53" s="6">
        <f>+B48/B41</f>
        <v>0</v>
      </c>
      <c r="C53" s="6">
        <f>+C48/C41</f>
        <v>0</v>
      </c>
      <c r="E53" s="6">
        <f>+E48/E41</f>
        <v>0</v>
      </c>
      <c r="F53" s="6">
        <f>+F48/F41</f>
        <v>0</v>
      </c>
      <c r="H53" s="6">
        <f>+H48/H41</f>
        <v>3.1334183673469386E-2</v>
      </c>
    </row>
    <row r="54" spans="1:9" s="6" customFormat="1" x14ac:dyDescent="0.2">
      <c r="A54" s="8" t="s">
        <v>2</v>
      </c>
      <c r="B54" s="9"/>
      <c r="C54" s="9"/>
      <c r="D54" s="9"/>
      <c r="E54" s="9"/>
      <c r="F54" s="9"/>
      <c r="G54" s="9"/>
      <c r="H54" s="9"/>
      <c r="I54" s="9"/>
    </row>
    <row r="55" spans="1:9" s="6" customFormat="1" x14ac:dyDescent="0.2">
      <c r="A55" s="6" t="s">
        <v>1</v>
      </c>
      <c r="B55" s="7" t="str">
        <f>IF(B42=0,IF(B54="","","*"&amp;TEXT(B54,"0.0x")),(B41+B42-B44)/B47)</f>
        <v/>
      </c>
      <c r="C55" s="7" t="str">
        <f>IF(C42=0,IF(C54="","","*"&amp;TEXT(C54,"0.0x")),(C41+C42-C44)/C47)</f>
        <v/>
      </c>
      <c r="D55" s="7"/>
      <c r="E55" s="7">
        <f>IF(E42=0,IF(E54="","","*"&amp;TEXT(E54,"0.0x")),(E41+E42-E44)/E47)</f>
        <v>9.7917374080362194</v>
      </c>
      <c r="F55" s="7">
        <f>IF(F42=0,IF(F54="","","*"&amp;TEXT(F54,"0.0x")),(F41+F42-F44)/F47)</f>
        <v>12.691838291380627</v>
      </c>
      <c r="G55" s="7"/>
      <c r="H55" s="7">
        <f>IF(H42=0,IF(H54="","","*"&amp;TEXT(H54,"0.0x")),(H41+H42-H44)/H47)</f>
        <v>13.006396588486142</v>
      </c>
      <c r="I55" s="7"/>
    </row>
    <row r="57" spans="1:9" ht="80.25" customHeight="1" x14ac:dyDescent="0.2">
      <c r="A57" s="5" t="s">
        <v>0</v>
      </c>
      <c r="B57" s="4" t="s">
        <v>354</v>
      </c>
      <c r="C57" s="4" t="s">
        <v>104</v>
      </c>
      <c r="D57" s="4"/>
      <c r="E57" s="4" t="s">
        <v>520</v>
      </c>
      <c r="F57" s="4" t="s">
        <v>514</v>
      </c>
      <c r="G57" s="4"/>
      <c r="H57" s="4"/>
      <c r="I57" s="4"/>
    </row>
    <row r="58" spans="1:9" x14ac:dyDescent="0.2">
      <c r="A58" s="2"/>
      <c r="B58" s="3"/>
      <c r="C58" s="3"/>
      <c r="D58" s="3"/>
      <c r="E58" s="3"/>
      <c r="F58" s="3"/>
      <c r="G58" s="3"/>
      <c r="H58" s="3"/>
    </row>
    <row r="59" spans="1:9" x14ac:dyDescent="0.2">
      <c r="A59" s="2"/>
    </row>
  </sheetData>
  <pageMargins left="0.7" right="0.7" top="0.75" bottom="0.75" header="0.3" footer="0.3"/>
  <pageSetup orientation="portrait" r:id="rId1"/>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2:M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8" width="10.7109375" style="1" customWidth="1"/>
    <col min="9" max="9" width="9.140625" style="1"/>
    <col min="10" max="13" width="10.7109375" style="1" customWidth="1"/>
    <col min="14" max="16384" width="9.140625" style="1"/>
  </cols>
  <sheetData>
    <row r="2" spans="1:13" x14ac:dyDescent="0.2">
      <c r="A2" s="34" t="s">
        <v>45</v>
      </c>
      <c r="B2" s="1" t="s">
        <v>452</v>
      </c>
    </row>
    <row r="3" spans="1:13" s="35" customFormat="1" x14ac:dyDescent="0.2">
      <c r="A3" s="36" t="s">
        <v>43</v>
      </c>
      <c r="B3" s="35" t="s">
        <v>443</v>
      </c>
    </row>
    <row r="4" spans="1:13" x14ac:dyDescent="0.2">
      <c r="A4" s="34" t="s">
        <v>41</v>
      </c>
      <c r="B4" s="1" t="s">
        <v>40</v>
      </c>
    </row>
    <row r="5" spans="1:13" x14ac:dyDescent="0.2">
      <c r="A5" s="34" t="s">
        <v>39</v>
      </c>
    </row>
    <row r="6" spans="1:13" x14ac:dyDescent="0.2">
      <c r="A6" s="34" t="s">
        <v>38</v>
      </c>
      <c r="B6" s="1">
        <v>3</v>
      </c>
    </row>
    <row r="7" spans="1:13" x14ac:dyDescent="0.2">
      <c r="A7" s="34" t="s">
        <v>37</v>
      </c>
      <c r="B7" s="1" t="s">
        <v>445</v>
      </c>
    </row>
    <row r="8" spans="1:13" x14ac:dyDescent="0.2">
      <c r="A8" s="34" t="s">
        <v>281</v>
      </c>
      <c r="B8" s="1" t="s">
        <v>444</v>
      </c>
    </row>
    <row r="9" spans="1:13" x14ac:dyDescent="0.2">
      <c r="A9" s="22"/>
    </row>
    <row r="10" spans="1:13" x14ac:dyDescent="0.2">
      <c r="A10" s="22" t="s">
        <v>36</v>
      </c>
      <c r="B10" s="33">
        <v>44104</v>
      </c>
      <c r="C10" s="33">
        <v>44012</v>
      </c>
      <c r="D10" s="33">
        <v>43921</v>
      </c>
      <c r="E10" s="33">
        <v>43830</v>
      </c>
      <c r="F10" s="33">
        <v>43738</v>
      </c>
      <c r="G10" s="33">
        <v>43646</v>
      </c>
      <c r="H10" s="33">
        <v>43555</v>
      </c>
      <c r="J10" s="33">
        <v>43830</v>
      </c>
      <c r="K10" s="33">
        <v>43646</v>
      </c>
      <c r="L10" s="33">
        <f>EOMONTH(K10,-6)</f>
        <v>43465</v>
      </c>
      <c r="M10" s="33">
        <f t="shared" ref="M10" si="0">EOMONTH(L10,-6)</f>
        <v>43281</v>
      </c>
    </row>
    <row r="12" spans="1:13" x14ac:dyDescent="0.2">
      <c r="A12" s="15" t="s">
        <v>35</v>
      </c>
      <c r="B12" s="19">
        <v>263</v>
      </c>
      <c r="C12" s="19">
        <v>31</v>
      </c>
      <c r="D12" s="19">
        <v>195</v>
      </c>
      <c r="E12" s="19">
        <v>330</v>
      </c>
      <c r="F12" s="19">
        <v>644</v>
      </c>
      <c r="G12" s="19">
        <v>496</v>
      </c>
      <c r="H12" s="19">
        <v>264</v>
      </c>
      <c r="J12" s="19">
        <f>1740-K12</f>
        <v>977</v>
      </c>
      <c r="K12" s="19">
        <v>763</v>
      </c>
      <c r="L12" s="19">
        <f>1688-M12</f>
        <v>982</v>
      </c>
      <c r="M12" s="19">
        <v>706</v>
      </c>
    </row>
    <row r="13" spans="1:13" s="28" customFormat="1" x14ac:dyDescent="0.2">
      <c r="A13" s="28" t="s">
        <v>34</v>
      </c>
      <c r="B13" s="28">
        <f>B12/F12-1</f>
        <v>-0.59161490683229812</v>
      </c>
      <c r="C13" s="28">
        <f>C12/G12-1</f>
        <v>-0.9375</v>
      </c>
      <c r="D13" s="28">
        <f>D12/H12-1</f>
        <v>-0.26136363636363635</v>
      </c>
      <c r="J13" s="28">
        <f>+J12/K12-1</f>
        <v>0.28047182175622543</v>
      </c>
      <c r="K13" s="28">
        <f>+K12/M12-1</f>
        <v>8.0736543909348368E-2</v>
      </c>
    </row>
    <row r="14" spans="1:13" s="23" customFormat="1" x14ac:dyDescent="0.2">
      <c r="A14" s="31" t="s">
        <v>33</v>
      </c>
      <c r="B14" s="32"/>
      <c r="C14" s="32"/>
      <c r="D14" s="32"/>
      <c r="E14" s="32"/>
      <c r="F14" s="32"/>
      <c r="G14" s="32"/>
      <c r="H14" s="32"/>
      <c r="J14" s="32" t="s">
        <v>32</v>
      </c>
      <c r="K14" s="32" t="s">
        <v>32</v>
      </c>
      <c r="L14" s="32"/>
      <c r="M14" s="32"/>
    </row>
    <row r="16" spans="1:13" s="22" customFormat="1" x14ac:dyDescent="0.2">
      <c r="A16" s="30" t="s">
        <v>31</v>
      </c>
      <c r="B16" s="29">
        <v>65</v>
      </c>
      <c r="C16" s="29">
        <v>-81</v>
      </c>
      <c r="D16" s="29">
        <v>-22</v>
      </c>
      <c r="E16" s="29">
        <v>160</v>
      </c>
      <c r="F16" s="29">
        <v>324</v>
      </c>
      <c r="G16" s="29">
        <v>179</v>
      </c>
      <c r="H16" s="29">
        <v>12</v>
      </c>
      <c r="J16" s="29">
        <f>490-K16</f>
        <v>301</v>
      </c>
      <c r="K16" s="29">
        <v>189</v>
      </c>
      <c r="L16" s="29">
        <f>490-M16</f>
        <v>302</v>
      </c>
      <c r="M16" s="29">
        <v>188</v>
      </c>
    </row>
    <row r="17" spans="1:13" s="28" customFormat="1" x14ac:dyDescent="0.2">
      <c r="A17" s="28" t="s">
        <v>30</v>
      </c>
      <c r="B17" s="28">
        <f t="shared" ref="B17:H17" si="1">+B16/B12</f>
        <v>0.24714828897338403</v>
      </c>
      <c r="C17" s="28">
        <f t="shared" si="1"/>
        <v>-2.6129032258064515</v>
      </c>
      <c r="D17" s="28">
        <f t="shared" si="1"/>
        <v>-0.11282051282051282</v>
      </c>
      <c r="E17" s="28">
        <f t="shared" si="1"/>
        <v>0.48484848484848486</v>
      </c>
      <c r="F17" s="28">
        <f t="shared" si="1"/>
        <v>0.50310559006211175</v>
      </c>
      <c r="G17" s="28">
        <f t="shared" si="1"/>
        <v>0.36088709677419356</v>
      </c>
      <c r="H17" s="28">
        <f t="shared" si="1"/>
        <v>4.5454545454545456E-2</v>
      </c>
      <c r="J17" s="28">
        <f>+J16/J12</f>
        <v>0.30808597748208805</v>
      </c>
      <c r="K17" s="28">
        <f>+K16/K12</f>
        <v>0.24770642201834864</v>
      </c>
      <c r="L17" s="28">
        <f t="shared" ref="L17:M17" si="2">+L16/L12</f>
        <v>0.3075356415478615</v>
      </c>
      <c r="M17" s="28">
        <f t="shared" si="2"/>
        <v>0.26628895184135976</v>
      </c>
    </row>
    <row r="18" spans="1:13" s="23" customFormat="1" x14ac:dyDescent="0.2"/>
    <row r="19" spans="1:13" s="23" customFormat="1" x14ac:dyDescent="0.2">
      <c r="A19" s="15" t="s">
        <v>29</v>
      </c>
      <c r="B19" s="19">
        <v>0</v>
      </c>
      <c r="C19" s="19">
        <v>0</v>
      </c>
      <c r="D19" s="19">
        <v>0</v>
      </c>
      <c r="E19" s="19">
        <v>0</v>
      </c>
      <c r="F19" s="19">
        <v>0</v>
      </c>
      <c r="G19" s="19">
        <v>0</v>
      </c>
      <c r="H19" s="19">
        <v>0</v>
      </c>
      <c r="J19" s="19">
        <v>0</v>
      </c>
      <c r="K19" s="19">
        <v>0</v>
      </c>
      <c r="L19" s="19">
        <v>0</v>
      </c>
      <c r="M19" s="19">
        <v>0</v>
      </c>
    </row>
    <row r="20" spans="1:13" s="23" customFormat="1" x14ac:dyDescent="0.2">
      <c r="A20" s="15" t="s">
        <v>28</v>
      </c>
      <c r="B20" s="19">
        <v>0</v>
      </c>
      <c r="C20" s="19">
        <v>0</v>
      </c>
      <c r="D20" s="19">
        <v>0</v>
      </c>
      <c r="E20" s="19">
        <v>0</v>
      </c>
      <c r="F20" s="19">
        <v>0</v>
      </c>
      <c r="G20" s="19">
        <v>0</v>
      </c>
      <c r="H20" s="19">
        <v>0</v>
      </c>
      <c r="J20" s="19">
        <v>0</v>
      </c>
      <c r="K20" s="19">
        <v>0</v>
      </c>
      <c r="L20" s="19">
        <v>0</v>
      </c>
      <c r="M20" s="19">
        <v>0</v>
      </c>
    </row>
    <row r="21" spans="1:13" s="23" customFormat="1" x14ac:dyDescent="0.2">
      <c r="A21" s="15" t="s">
        <v>18</v>
      </c>
      <c r="B21" s="19">
        <v>0</v>
      </c>
      <c r="C21" s="19">
        <v>0</v>
      </c>
      <c r="D21" s="19">
        <v>0</v>
      </c>
      <c r="E21" s="19">
        <v>0</v>
      </c>
      <c r="F21" s="19">
        <v>0</v>
      </c>
      <c r="G21" s="19">
        <v>0</v>
      </c>
      <c r="H21" s="19">
        <v>0</v>
      </c>
      <c r="J21" s="19">
        <v>0</v>
      </c>
      <c r="K21" s="19">
        <v>0</v>
      </c>
      <c r="L21" s="19">
        <v>0</v>
      </c>
      <c r="M21" s="19">
        <v>0</v>
      </c>
    </row>
    <row r="22" spans="1:13" s="22" customFormat="1" x14ac:dyDescent="0.2">
      <c r="A22" s="22" t="s">
        <v>23</v>
      </c>
      <c r="B22" s="20">
        <f t="shared" ref="B22:H22" si="3">SUM(B16,B19:B21)</f>
        <v>65</v>
      </c>
      <c r="C22" s="20">
        <f t="shared" si="3"/>
        <v>-81</v>
      </c>
      <c r="D22" s="20">
        <f t="shared" si="3"/>
        <v>-22</v>
      </c>
      <c r="E22" s="20">
        <f t="shared" si="3"/>
        <v>160</v>
      </c>
      <c r="F22" s="20">
        <f t="shared" si="3"/>
        <v>324</v>
      </c>
      <c r="G22" s="20">
        <f t="shared" si="3"/>
        <v>179</v>
      </c>
      <c r="H22" s="20">
        <f t="shared" si="3"/>
        <v>12</v>
      </c>
      <c r="J22" s="20">
        <f>SUM(J16,J19:J21)</f>
        <v>301</v>
      </c>
      <c r="K22" s="20">
        <f>SUM(K16,K19:K21)</f>
        <v>189</v>
      </c>
      <c r="L22" s="20">
        <f t="shared" ref="L22:M22" si="4">SUM(L16,L19:L21)</f>
        <v>302</v>
      </c>
      <c r="M22" s="20">
        <f t="shared" si="4"/>
        <v>188</v>
      </c>
    </row>
    <row r="23" spans="1:13" s="22" customFormat="1" x14ac:dyDescent="0.2">
      <c r="B23" s="20"/>
      <c r="C23" s="20"/>
      <c r="D23" s="20"/>
      <c r="E23" s="20"/>
      <c r="F23" s="20"/>
      <c r="G23" s="20"/>
      <c r="H23" s="20"/>
      <c r="J23" s="20"/>
      <c r="K23" s="20"/>
      <c r="L23" s="20"/>
      <c r="M23" s="20"/>
    </row>
    <row r="24" spans="1:13" s="22" customFormat="1" x14ac:dyDescent="0.2">
      <c r="A24" s="22" t="s">
        <v>27</v>
      </c>
      <c r="B24" s="20">
        <f>SUM(B22:E22)</f>
        <v>122</v>
      </c>
      <c r="C24" s="20">
        <f>SUM(C22:F22)</f>
        <v>381</v>
      </c>
      <c r="D24" s="20">
        <f>SUM(D22:G22)</f>
        <v>641</v>
      </c>
      <c r="E24" s="20">
        <f>SUM(E22:H22)</f>
        <v>675</v>
      </c>
      <c r="F24" s="20"/>
      <c r="G24" s="20"/>
      <c r="H24" s="20"/>
      <c r="J24" s="20">
        <f>J22+K22</f>
        <v>490</v>
      </c>
      <c r="K24" s="20">
        <f>K22+L22</f>
        <v>491</v>
      </c>
      <c r="L24" s="20">
        <f>L22+M22</f>
        <v>490</v>
      </c>
      <c r="M24" s="20"/>
    </row>
    <row r="25" spans="1:13" s="23" customFormat="1" x14ac:dyDescent="0.2">
      <c r="A25" s="15" t="s">
        <v>26</v>
      </c>
      <c r="B25" s="27">
        <v>0</v>
      </c>
      <c r="C25" s="27">
        <v>0</v>
      </c>
      <c r="D25" s="27">
        <v>0</v>
      </c>
      <c r="E25" s="27">
        <v>0</v>
      </c>
      <c r="F25" s="27"/>
      <c r="G25" s="27"/>
      <c r="H25" s="27"/>
      <c r="J25" s="27">
        <f>611-J24</f>
        <v>121</v>
      </c>
      <c r="K25" s="27">
        <v>0</v>
      </c>
      <c r="L25" s="27">
        <v>0</v>
      </c>
      <c r="M25" s="27"/>
    </row>
    <row r="26" spans="1:13" s="23" customFormat="1" x14ac:dyDescent="0.2">
      <c r="A26" s="15" t="s">
        <v>25</v>
      </c>
      <c r="B26" s="21">
        <v>0</v>
      </c>
      <c r="C26" s="21">
        <v>0</v>
      </c>
      <c r="D26" s="21">
        <v>0</v>
      </c>
      <c r="E26" s="21">
        <v>0</v>
      </c>
      <c r="F26" s="27"/>
      <c r="G26" s="27"/>
      <c r="H26" s="27"/>
      <c r="J26" s="21">
        <v>0</v>
      </c>
      <c r="K26" s="21">
        <v>0</v>
      </c>
      <c r="L26" s="21">
        <v>0</v>
      </c>
      <c r="M26" s="21"/>
    </row>
    <row r="27" spans="1:13" s="24" customFormat="1" x14ac:dyDescent="0.2">
      <c r="A27" s="22" t="s">
        <v>24</v>
      </c>
      <c r="B27" s="20">
        <f>SUM(B24:B26)</f>
        <v>122</v>
      </c>
      <c r="C27" s="20">
        <f>SUM(C24:C26)</f>
        <v>381</v>
      </c>
      <c r="D27" s="20">
        <f>SUM(D24:D26)</f>
        <v>641</v>
      </c>
      <c r="E27" s="20">
        <f>SUM(E24:E26)</f>
        <v>675</v>
      </c>
      <c r="F27" s="20"/>
      <c r="G27" s="20"/>
      <c r="H27" s="20"/>
      <c r="J27" s="20">
        <f>SUM(J24:J26)</f>
        <v>611</v>
      </c>
      <c r="K27" s="20">
        <f>SUM(K24:K26)</f>
        <v>491</v>
      </c>
      <c r="L27" s="20">
        <f t="shared" ref="L27" si="5">SUM(L24:L26)</f>
        <v>490</v>
      </c>
      <c r="M27" s="20"/>
    </row>
    <row r="28" spans="1:13" s="23" customFormat="1" x14ac:dyDescent="0.2"/>
    <row r="29" spans="1:13" s="22" customFormat="1" x14ac:dyDescent="0.2">
      <c r="A29" s="22" t="s">
        <v>23</v>
      </c>
      <c r="B29" s="20">
        <f t="shared" ref="B29:H29" si="6">B22</f>
        <v>65</v>
      </c>
      <c r="C29" s="20">
        <f t="shared" si="6"/>
        <v>-81</v>
      </c>
      <c r="D29" s="20">
        <f t="shared" si="6"/>
        <v>-22</v>
      </c>
      <c r="E29" s="20">
        <f t="shared" si="6"/>
        <v>160</v>
      </c>
      <c r="F29" s="20">
        <f t="shared" si="6"/>
        <v>324</v>
      </c>
      <c r="G29" s="20">
        <f t="shared" si="6"/>
        <v>179</v>
      </c>
      <c r="H29" s="20">
        <f t="shared" si="6"/>
        <v>12</v>
      </c>
      <c r="J29" s="20">
        <f t="shared" ref="J29:M29" si="7">J22</f>
        <v>301</v>
      </c>
      <c r="K29" s="20">
        <f t="shared" si="7"/>
        <v>189</v>
      </c>
      <c r="L29" s="20">
        <f t="shared" si="7"/>
        <v>302</v>
      </c>
      <c r="M29" s="20">
        <f t="shared" si="7"/>
        <v>188</v>
      </c>
    </row>
    <row r="30" spans="1:13" s="11" customFormat="1" x14ac:dyDescent="0.2">
      <c r="A30" s="19" t="s">
        <v>22</v>
      </c>
      <c r="B30" s="19">
        <v>-59</v>
      </c>
      <c r="C30" s="19">
        <v>-61</v>
      </c>
      <c r="D30" s="19">
        <v>-38</v>
      </c>
      <c r="E30" s="19">
        <v>-19</v>
      </c>
      <c r="F30" s="19">
        <v>-25</v>
      </c>
      <c r="G30" s="19">
        <v>-23</v>
      </c>
      <c r="H30" s="19">
        <v>-25</v>
      </c>
      <c r="J30" s="19">
        <f>-97-K30</f>
        <v>-46</v>
      </c>
      <c r="K30" s="19">
        <v>-51</v>
      </c>
      <c r="L30" s="19">
        <f>-50-M30</f>
        <v>-1</v>
      </c>
      <c r="M30" s="19">
        <v>-49</v>
      </c>
    </row>
    <row r="31" spans="1:13" s="11" customFormat="1" x14ac:dyDescent="0.2">
      <c r="A31" s="19" t="s">
        <v>21</v>
      </c>
      <c r="B31" s="19">
        <v>6</v>
      </c>
      <c r="C31" s="19">
        <v>3</v>
      </c>
      <c r="D31" s="19">
        <v>-7</v>
      </c>
      <c r="E31" s="19">
        <v>-27</v>
      </c>
      <c r="F31" s="19">
        <v>-13</v>
      </c>
      <c r="G31" s="19">
        <v>-19</v>
      </c>
      <c r="H31" s="19">
        <v>-14</v>
      </c>
      <c r="J31" s="19">
        <f>-73-K31</f>
        <v>-40</v>
      </c>
      <c r="K31" s="19">
        <v>-33</v>
      </c>
      <c r="L31" s="19">
        <f>-46-M31</f>
        <v>-24</v>
      </c>
      <c r="M31" s="19">
        <v>-22</v>
      </c>
    </row>
    <row r="32" spans="1:13" s="11" customFormat="1" x14ac:dyDescent="0.2">
      <c r="A32" s="19" t="s">
        <v>20</v>
      </c>
      <c r="B32" s="19">
        <v>37</v>
      </c>
      <c r="C32" s="19">
        <v>7</v>
      </c>
      <c r="D32" s="19">
        <v>15</v>
      </c>
      <c r="E32" s="19">
        <v>-22</v>
      </c>
      <c r="F32" s="19">
        <v>11</v>
      </c>
      <c r="G32" s="19">
        <v>18</v>
      </c>
      <c r="H32" s="19">
        <v>30</v>
      </c>
      <c r="J32" s="19">
        <f>37-K32</f>
        <v>-11</v>
      </c>
      <c r="K32" s="19">
        <v>48</v>
      </c>
      <c r="L32" s="19">
        <f>-22-M32</f>
        <v>-76</v>
      </c>
      <c r="M32" s="19">
        <v>54</v>
      </c>
    </row>
    <row r="33" spans="1:13" s="11" customFormat="1" x14ac:dyDescent="0.2">
      <c r="A33" s="19" t="s">
        <v>19</v>
      </c>
      <c r="B33" s="19">
        <v>0</v>
      </c>
      <c r="C33" s="19">
        <v>0</v>
      </c>
      <c r="D33" s="19">
        <v>0</v>
      </c>
      <c r="E33" s="19">
        <v>0</v>
      </c>
      <c r="F33" s="19">
        <v>0</v>
      </c>
      <c r="G33" s="19">
        <v>0</v>
      </c>
      <c r="H33" s="19">
        <v>0</v>
      </c>
      <c r="J33" s="19">
        <v>0</v>
      </c>
      <c r="K33" s="19">
        <v>0</v>
      </c>
      <c r="L33" s="19">
        <v>0</v>
      </c>
      <c r="M33" s="19">
        <v>0</v>
      </c>
    </row>
    <row r="34" spans="1:13" s="11" customFormat="1" x14ac:dyDescent="0.2">
      <c r="A34" s="19" t="s">
        <v>18</v>
      </c>
      <c r="B34" s="21">
        <v>0</v>
      </c>
      <c r="C34" s="21">
        <v>0</v>
      </c>
      <c r="D34" s="21">
        <v>0</v>
      </c>
      <c r="E34" s="21">
        <v>0</v>
      </c>
      <c r="F34" s="21">
        <v>0</v>
      </c>
      <c r="G34" s="21">
        <v>0</v>
      </c>
      <c r="H34" s="27">
        <v>0</v>
      </c>
      <c r="J34" s="21">
        <v>0</v>
      </c>
      <c r="K34" s="21">
        <v>0</v>
      </c>
      <c r="L34" s="21">
        <v>0</v>
      </c>
      <c r="M34" s="21">
        <v>0</v>
      </c>
    </row>
    <row r="35" spans="1:13" s="20" customFormat="1" x14ac:dyDescent="0.2">
      <c r="A35" s="20" t="s">
        <v>17</v>
      </c>
      <c r="B35" s="20">
        <v>112</v>
      </c>
      <c r="C35" s="20">
        <v>-72</v>
      </c>
      <c r="D35" s="20">
        <v>-15</v>
      </c>
      <c r="E35" s="20">
        <v>-19</v>
      </c>
      <c r="F35" s="20">
        <v>271</v>
      </c>
      <c r="G35" s="20">
        <v>179</v>
      </c>
      <c r="H35" s="20">
        <v>29</v>
      </c>
      <c r="J35" s="20">
        <f>460-K35</f>
        <v>252</v>
      </c>
      <c r="K35" s="20">
        <v>208</v>
      </c>
      <c r="L35" s="20">
        <f>450-M35</f>
        <v>208</v>
      </c>
      <c r="M35" s="20">
        <v>242</v>
      </c>
    </row>
    <row r="36" spans="1:13" s="11" customFormat="1" x14ac:dyDescent="0.2">
      <c r="A36" s="19" t="s">
        <v>16</v>
      </c>
      <c r="B36" s="21">
        <v>-59</v>
      </c>
      <c r="C36" s="21">
        <v>-79</v>
      </c>
      <c r="D36" s="21">
        <v>-99</v>
      </c>
      <c r="E36" s="27">
        <v>-124</v>
      </c>
      <c r="F36" s="27">
        <v>-93</v>
      </c>
      <c r="G36" s="27">
        <v>-81</v>
      </c>
      <c r="H36" s="27">
        <v>-81</v>
      </c>
      <c r="J36" s="21">
        <f>-379-K36</f>
        <v>-217</v>
      </c>
      <c r="K36" s="21">
        <v>-162</v>
      </c>
      <c r="L36" s="21">
        <f>-332-M36</f>
        <v>-142</v>
      </c>
      <c r="M36" s="21">
        <v>-190</v>
      </c>
    </row>
    <row r="37" spans="1:13" s="20" customFormat="1" x14ac:dyDescent="0.2">
      <c r="A37" s="20" t="s">
        <v>15</v>
      </c>
      <c r="B37" s="20">
        <f t="shared" ref="B37:H37" si="8">B35+B36</f>
        <v>53</v>
      </c>
      <c r="C37" s="20">
        <f t="shared" si="8"/>
        <v>-151</v>
      </c>
      <c r="D37" s="20">
        <f t="shared" si="8"/>
        <v>-114</v>
      </c>
      <c r="E37" s="20">
        <f t="shared" si="8"/>
        <v>-143</v>
      </c>
      <c r="F37" s="20">
        <f t="shared" si="8"/>
        <v>178</v>
      </c>
      <c r="G37" s="20">
        <f t="shared" si="8"/>
        <v>98</v>
      </c>
      <c r="H37" s="20">
        <f t="shared" si="8"/>
        <v>-52</v>
      </c>
      <c r="J37" s="20">
        <f>+J35+J36</f>
        <v>35</v>
      </c>
      <c r="K37" s="20">
        <f>+K35+K36</f>
        <v>46</v>
      </c>
      <c r="L37" s="20">
        <f t="shared" ref="L37:M37" si="9">+L35+L36</f>
        <v>66</v>
      </c>
      <c r="M37" s="20">
        <f t="shared" si="9"/>
        <v>52</v>
      </c>
    </row>
    <row r="39" spans="1:13" s="16" customFormat="1" x14ac:dyDescent="0.2">
      <c r="A39" s="18" t="s">
        <v>14</v>
      </c>
      <c r="B39" s="19">
        <v>0</v>
      </c>
      <c r="C39" s="19">
        <v>0</v>
      </c>
      <c r="D39" s="19">
        <v>370</v>
      </c>
      <c r="E39" s="19">
        <v>400</v>
      </c>
      <c r="F39" s="19"/>
      <c r="G39" s="19"/>
      <c r="H39" s="19"/>
      <c r="J39" s="19">
        <v>400</v>
      </c>
      <c r="K39" s="19">
        <v>0</v>
      </c>
      <c r="L39" s="19"/>
      <c r="M39" s="19"/>
    </row>
    <row r="40" spans="1:13" s="16" customFormat="1" x14ac:dyDescent="0.2">
      <c r="A40" s="18" t="s">
        <v>13</v>
      </c>
      <c r="B40" s="19">
        <v>3187</v>
      </c>
      <c r="C40" s="19">
        <v>3225</v>
      </c>
      <c r="D40" s="19">
        <f>3607.61538461538-D39</f>
        <v>3237.6153846153802</v>
      </c>
      <c r="E40" s="19">
        <f>2501.73+500</f>
        <v>3001.73</v>
      </c>
      <c r="F40" s="19"/>
      <c r="G40" s="19"/>
      <c r="H40" s="19"/>
      <c r="J40" s="19">
        <f>2501.73+500</f>
        <v>3001.73</v>
      </c>
      <c r="K40" s="19">
        <v>2508</v>
      </c>
      <c r="L40" s="19"/>
      <c r="M40" s="19"/>
    </row>
    <row r="41" spans="1:13" s="16" customFormat="1" x14ac:dyDescent="0.2">
      <c r="A41" s="18" t="s">
        <v>12</v>
      </c>
      <c r="B41" s="19">
        <f>B39+B40+660</f>
        <v>3847</v>
      </c>
      <c r="C41" s="19">
        <f>C39+C40+668</f>
        <v>3893</v>
      </c>
      <c r="D41" s="19">
        <f>D39+D40+687</f>
        <v>4294.6153846153802</v>
      </c>
      <c r="E41" s="19">
        <f>E39+E40+635</f>
        <v>4036.73</v>
      </c>
      <c r="F41" s="19"/>
      <c r="G41" s="19"/>
      <c r="H41" s="19"/>
      <c r="J41" s="19">
        <f>J39+J40+635</f>
        <v>4036.73</v>
      </c>
      <c r="K41" s="19">
        <f>K39+K40+635</f>
        <v>3143</v>
      </c>
      <c r="L41" s="19"/>
      <c r="M41" s="19"/>
    </row>
    <row r="42" spans="1:13" s="16" customFormat="1" x14ac:dyDescent="0.2">
      <c r="A42" s="18" t="s">
        <v>11</v>
      </c>
      <c r="B42" s="17">
        <v>2899</v>
      </c>
      <c r="C42" s="17">
        <v>2899</v>
      </c>
      <c r="D42" s="17">
        <v>2899</v>
      </c>
      <c r="E42" s="17">
        <v>2899</v>
      </c>
      <c r="F42" s="17"/>
      <c r="G42" s="17"/>
      <c r="H42" s="17"/>
      <c r="J42" s="17">
        <v>2899</v>
      </c>
      <c r="K42" s="17">
        <v>2899</v>
      </c>
      <c r="L42" s="17"/>
      <c r="M42" s="17"/>
    </row>
    <row r="43" spans="1:13" x14ac:dyDescent="0.2">
      <c r="B43" s="16"/>
      <c r="C43" s="16"/>
      <c r="D43" s="16"/>
      <c r="E43" s="16"/>
      <c r="F43" s="16"/>
      <c r="G43" s="16"/>
      <c r="H43" s="16"/>
      <c r="J43" s="16"/>
      <c r="K43" s="16"/>
      <c r="L43" s="16"/>
      <c r="M43" s="16"/>
    </row>
    <row r="44" spans="1:13" x14ac:dyDescent="0.2">
      <c r="A44" s="15" t="s">
        <v>10</v>
      </c>
      <c r="B44" s="27">
        <v>398</v>
      </c>
      <c r="C44" s="27">
        <v>365</v>
      </c>
      <c r="D44" s="27">
        <v>514</v>
      </c>
      <c r="E44" s="27">
        <v>160</v>
      </c>
      <c r="F44" s="27"/>
      <c r="G44" s="27"/>
      <c r="H44" s="27"/>
      <c r="J44" s="27">
        <v>160</v>
      </c>
      <c r="K44" s="27">
        <v>133</v>
      </c>
      <c r="L44" s="27"/>
      <c r="M44" s="27"/>
    </row>
    <row r="46" spans="1:13" x14ac:dyDescent="0.2">
      <c r="A46" s="1" t="s">
        <v>9</v>
      </c>
      <c r="B46" s="13">
        <f>C46+B12-F12</f>
        <v>825</v>
      </c>
      <c r="C46" s="13">
        <f>D46+C12-G12</f>
        <v>1206</v>
      </c>
      <c r="D46" s="13">
        <f>J46+D12-H12</f>
        <v>1671</v>
      </c>
      <c r="E46" s="12">
        <v>1740</v>
      </c>
      <c r="F46" s="13"/>
      <c r="G46" s="13"/>
      <c r="H46" s="13"/>
      <c r="J46" s="13">
        <f>J12+K12</f>
        <v>1740</v>
      </c>
      <c r="K46" s="12">
        <v>1688</v>
      </c>
      <c r="L46" s="11"/>
      <c r="M46" s="11"/>
    </row>
    <row r="47" spans="1:13" x14ac:dyDescent="0.2">
      <c r="A47" s="1" t="s">
        <v>8</v>
      </c>
      <c r="B47" s="13">
        <f>B27</f>
        <v>122</v>
      </c>
      <c r="C47" s="13">
        <f>C27</f>
        <v>381</v>
      </c>
      <c r="D47" s="13">
        <f>D27</f>
        <v>641</v>
      </c>
      <c r="E47" s="12">
        <v>611</v>
      </c>
      <c r="F47" s="13"/>
      <c r="G47" s="13"/>
      <c r="H47" s="13"/>
      <c r="J47" s="13">
        <f>J27</f>
        <v>611</v>
      </c>
      <c r="K47" s="12">
        <v>482</v>
      </c>
      <c r="L47" s="11"/>
      <c r="M47" s="11"/>
    </row>
    <row r="48" spans="1:13" x14ac:dyDescent="0.2">
      <c r="A48" s="1" t="s">
        <v>7</v>
      </c>
      <c r="B48" s="11">
        <f>C48+B37-F37</f>
        <v>-355</v>
      </c>
      <c r="C48" s="11">
        <f>D48+C37-G37</f>
        <v>-230</v>
      </c>
      <c r="D48" s="11">
        <f>J48+D37-H37</f>
        <v>19</v>
      </c>
      <c r="E48" s="12">
        <v>81</v>
      </c>
      <c r="F48" s="11"/>
      <c r="G48" s="11"/>
      <c r="H48" s="11"/>
      <c r="J48" s="11">
        <f>J37+K37</f>
        <v>81</v>
      </c>
      <c r="K48" s="11">
        <f>+SUM(K37:L37)</f>
        <v>112</v>
      </c>
      <c r="L48" s="11"/>
      <c r="M48" s="11"/>
    </row>
    <row r="50" spans="1:13" s="10" customFormat="1" x14ac:dyDescent="0.2">
      <c r="A50" s="10" t="s">
        <v>6</v>
      </c>
      <c r="B50" s="10">
        <f>+SUM(B39:B40)/B47</f>
        <v>26.122950819672131</v>
      </c>
      <c r="C50" s="10">
        <f>+SUM(C39:C40)/C47</f>
        <v>8.4645669291338574</v>
      </c>
      <c r="D50" s="10">
        <f>+SUM(D39:D40)/D47</f>
        <v>5.6281051242049616</v>
      </c>
      <c r="E50" s="10">
        <f>+SUM(E39:E40)/E47</f>
        <v>5.567479541734861</v>
      </c>
      <c r="J50" s="10">
        <f>+SUM(J39:J40)/J47</f>
        <v>5.567479541734861</v>
      </c>
      <c r="K50" s="10">
        <f>+SUM(K39:K40)/K47</f>
        <v>5.203319502074689</v>
      </c>
    </row>
    <row r="51" spans="1:13" s="10" customFormat="1" x14ac:dyDescent="0.2">
      <c r="A51" s="10" t="s">
        <v>5</v>
      </c>
      <c r="B51" s="10">
        <f>+B41/B47</f>
        <v>31.532786885245901</v>
      </c>
      <c r="C51" s="10">
        <f>+C41/C47</f>
        <v>10.217847769028872</v>
      </c>
      <c r="D51" s="10">
        <f>+D41/D47</f>
        <v>6.6998679947197823</v>
      </c>
      <c r="E51" s="10">
        <f>+E41/E47</f>
        <v>6.6067594108019643</v>
      </c>
      <c r="J51" s="10">
        <f>+J41/J47</f>
        <v>6.6067594108019643</v>
      </c>
      <c r="K51" s="10">
        <f>+K41/K47</f>
        <v>6.5207468879668049</v>
      </c>
    </row>
    <row r="52" spans="1:13" s="10" customFormat="1" x14ac:dyDescent="0.2">
      <c r="A52" s="10" t="s">
        <v>4</v>
      </c>
      <c r="B52" s="10">
        <f>+(B41-B44)/B47</f>
        <v>28.270491803278688</v>
      </c>
      <c r="C52" s="10">
        <f>+(C41-C44)/C47</f>
        <v>9.2598425196850389</v>
      </c>
      <c r="D52" s="10">
        <f>+(D41-D44)/D47</f>
        <v>5.8979959198367862</v>
      </c>
      <c r="E52" s="10">
        <f>+(E41-E44)/E47</f>
        <v>6.3448936170212766</v>
      </c>
      <c r="J52" s="10">
        <f>+(J41-J44)/J47</f>
        <v>6.3448936170212766</v>
      </c>
      <c r="K52" s="10">
        <f>+(K41-K44)/K47</f>
        <v>6.2448132780082988</v>
      </c>
    </row>
    <row r="53" spans="1:13" s="6" customFormat="1" x14ac:dyDescent="0.2">
      <c r="A53" s="6" t="s">
        <v>3</v>
      </c>
      <c r="B53" s="6">
        <f>+B48/B41</f>
        <v>-9.2279698466337406E-2</v>
      </c>
      <c r="C53" s="6">
        <f>+C48/C41</f>
        <v>-5.9080400719239659E-2</v>
      </c>
      <c r="D53" s="6">
        <f>+D48/D41</f>
        <v>4.4241447250582171E-3</v>
      </c>
      <c r="E53" s="6">
        <f>+E48/E41</f>
        <v>2.0065746284740373E-2</v>
      </c>
      <c r="J53" s="6">
        <f>+J48/J41</f>
        <v>2.0065746284740373E-2</v>
      </c>
      <c r="K53" s="6">
        <f>+K48/K41</f>
        <v>3.5634743875278395E-2</v>
      </c>
    </row>
    <row r="54" spans="1:13" s="6" customFormat="1" x14ac:dyDescent="0.2">
      <c r="A54" s="8" t="s">
        <v>2</v>
      </c>
      <c r="B54" s="9"/>
      <c r="C54" s="9"/>
      <c r="D54" s="9"/>
      <c r="E54" s="9"/>
      <c r="F54" s="9"/>
      <c r="G54" s="9"/>
      <c r="H54" s="9"/>
      <c r="J54" s="9"/>
      <c r="K54" s="9"/>
      <c r="L54" s="9"/>
      <c r="M54" s="9"/>
    </row>
    <row r="55" spans="1:13" s="6" customFormat="1" x14ac:dyDescent="0.2">
      <c r="A55" s="6" t="s">
        <v>1</v>
      </c>
      <c r="B55" s="7">
        <f>IF(B42=0,IF(B54="","","*"&amp;TEXT(B54,"0.0x")),(B41+B42-B44)/B47)</f>
        <v>52.032786885245905</v>
      </c>
      <c r="C55" s="7">
        <f>IF(C42=0,IF(C54="","","*"&amp;TEXT(C54,"0.0x")),(C41+C42-C44)/C47)</f>
        <v>16.868766404199476</v>
      </c>
      <c r="D55" s="7">
        <f>IF(D42=0,IF(D54="","","*"&amp;TEXT(D54,"0.0x")),(D41+D42-D44)/D47)</f>
        <v>10.42061682467298</v>
      </c>
      <c r="E55" s="7">
        <f>IF(E42=0,IF(E54="","","*"&amp;TEXT(E54,"0.0x")),(E41+E42-E44)/E47)</f>
        <v>11.089574468085106</v>
      </c>
      <c r="F55" s="7"/>
      <c r="G55" s="7"/>
      <c r="H55" s="7"/>
      <c r="J55" s="7">
        <f>IF(J42=0,IF(J54="","","*"&amp;TEXT(J54,"0.0x")),(J41+J42-J44)/J47)</f>
        <v>11.089574468085106</v>
      </c>
      <c r="K55" s="7">
        <f>IF(K42=0,IF(K54="","","*"&amp;TEXT(K54,"0.0x")),(K41+K42-K44)/K47)</f>
        <v>12.259336099585063</v>
      </c>
      <c r="L55" s="7"/>
      <c r="M55" s="7"/>
    </row>
    <row r="57" spans="1:13" ht="80.25" customHeight="1" x14ac:dyDescent="0.2">
      <c r="A57" s="5" t="s">
        <v>0</v>
      </c>
      <c r="B57" s="4" t="s">
        <v>104</v>
      </c>
      <c r="C57" s="4" t="s">
        <v>512</v>
      </c>
      <c r="D57" s="4" t="s">
        <v>512</v>
      </c>
      <c r="E57" s="4"/>
      <c r="F57" s="4"/>
      <c r="G57" s="4" t="s">
        <v>512</v>
      </c>
      <c r="H57" s="4" t="s">
        <v>512</v>
      </c>
      <c r="J57" s="4" t="s">
        <v>509</v>
      </c>
      <c r="K57" s="4" t="s">
        <v>510</v>
      </c>
      <c r="L57" s="4" t="s">
        <v>511</v>
      </c>
      <c r="M57" s="4" t="s">
        <v>511</v>
      </c>
    </row>
    <row r="58" spans="1:13" x14ac:dyDescent="0.2">
      <c r="A58" s="2"/>
      <c r="B58" s="3"/>
      <c r="C58" s="3"/>
      <c r="D58" s="3"/>
      <c r="E58" s="3"/>
      <c r="F58" s="3"/>
      <c r="G58" s="3"/>
      <c r="H58" s="3"/>
      <c r="J58" s="3"/>
      <c r="K58" s="3"/>
    </row>
    <row r="59" spans="1:13" x14ac:dyDescent="0.2">
      <c r="A59" s="2"/>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2:N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4" width="10.7109375" style="1" customWidth="1"/>
    <col min="15" max="16384" width="9.140625" style="1"/>
  </cols>
  <sheetData>
    <row r="2" spans="1:14" x14ac:dyDescent="0.2">
      <c r="A2" s="34" t="s">
        <v>45</v>
      </c>
      <c r="B2" s="1" t="s">
        <v>447</v>
      </c>
    </row>
    <row r="3" spans="1:14" s="35" customFormat="1" x14ac:dyDescent="0.2">
      <c r="A3" s="36" t="s">
        <v>43</v>
      </c>
      <c r="B3" s="35" t="s">
        <v>449</v>
      </c>
    </row>
    <row r="4" spans="1:14" x14ac:dyDescent="0.2">
      <c r="A4" s="34" t="s">
        <v>41</v>
      </c>
      <c r="B4" s="1" t="s">
        <v>502</v>
      </c>
    </row>
    <row r="5" spans="1:14" x14ac:dyDescent="0.2">
      <c r="A5" s="34" t="s">
        <v>39</v>
      </c>
    </row>
    <row r="6" spans="1:14" x14ac:dyDescent="0.2">
      <c r="A6" s="34" t="s">
        <v>38</v>
      </c>
      <c r="B6" s="1">
        <v>2</v>
      </c>
    </row>
    <row r="7" spans="1:14" x14ac:dyDescent="0.2">
      <c r="A7" s="34" t="s">
        <v>37</v>
      </c>
      <c r="B7" s="1" t="s">
        <v>422</v>
      </c>
    </row>
    <row r="8" spans="1:14" x14ac:dyDescent="0.2">
      <c r="A8" s="34" t="s">
        <v>281</v>
      </c>
      <c r="B8" s="1" t="s">
        <v>448</v>
      </c>
    </row>
    <row r="9" spans="1:14" x14ac:dyDescent="0.2">
      <c r="A9" s="22"/>
    </row>
    <row r="10" spans="1:14" x14ac:dyDescent="0.2">
      <c r="A10" s="22" t="s">
        <v>36</v>
      </c>
      <c r="B10" s="33">
        <v>44286</v>
      </c>
      <c r="C10" s="33">
        <v>44196</v>
      </c>
      <c r="D10" s="33">
        <v>44104</v>
      </c>
      <c r="E10" s="33">
        <v>44012</v>
      </c>
      <c r="F10" s="33">
        <v>43921</v>
      </c>
      <c r="G10" s="33">
        <v>43830</v>
      </c>
      <c r="H10" s="33">
        <v>43738</v>
      </c>
      <c r="I10" s="33">
        <f>EOMONTH(H10,-3)</f>
        <v>43646</v>
      </c>
      <c r="J10" s="33">
        <f t="shared" ref="J10:N10" si="0">EOMONTH(I10,-3)</f>
        <v>43555</v>
      </c>
      <c r="K10" s="33">
        <f t="shared" si="0"/>
        <v>43465</v>
      </c>
      <c r="L10" s="33">
        <f t="shared" si="0"/>
        <v>43373</v>
      </c>
      <c r="M10" s="33">
        <f t="shared" si="0"/>
        <v>43281</v>
      </c>
      <c r="N10" s="33">
        <f t="shared" si="0"/>
        <v>43190</v>
      </c>
    </row>
    <row r="12" spans="1:14" x14ac:dyDescent="0.2">
      <c r="A12" s="15" t="s">
        <v>35</v>
      </c>
      <c r="B12" s="19">
        <v>471</v>
      </c>
      <c r="C12" s="19">
        <v>460</v>
      </c>
      <c r="D12" s="19">
        <v>512</v>
      </c>
      <c r="E12" s="19">
        <v>534</v>
      </c>
      <c r="F12" s="19">
        <v>456</v>
      </c>
      <c r="G12" s="19">
        <v>441</v>
      </c>
      <c r="H12" s="19">
        <v>465</v>
      </c>
      <c r="I12" s="19">
        <v>494</v>
      </c>
      <c r="J12" s="19">
        <v>419</v>
      </c>
      <c r="K12" s="19">
        <f>1900-L12-M12-N12</f>
        <v>456</v>
      </c>
      <c r="L12" s="19">
        <v>496</v>
      </c>
      <c r="M12" s="19">
        <v>520</v>
      </c>
      <c r="N12" s="19">
        <v>428</v>
      </c>
    </row>
    <row r="13" spans="1:14" s="28" customFormat="1" x14ac:dyDescent="0.2">
      <c r="A13" s="28" t="s">
        <v>34</v>
      </c>
      <c r="B13" s="28">
        <f t="shared" ref="B13:H13" si="1">+B12/F12-1</f>
        <v>3.289473684210531E-2</v>
      </c>
      <c r="C13" s="28">
        <f t="shared" si="1"/>
        <v>4.3083900226757343E-2</v>
      </c>
      <c r="D13" s="28">
        <f t="shared" si="1"/>
        <v>0.1010752688172043</v>
      </c>
      <c r="E13" s="28">
        <f t="shared" si="1"/>
        <v>8.0971659919028438E-2</v>
      </c>
      <c r="F13" s="28">
        <f t="shared" si="1"/>
        <v>8.8305489260143144E-2</v>
      </c>
      <c r="G13" s="28">
        <f t="shared" si="1"/>
        <v>-3.289473684210531E-2</v>
      </c>
      <c r="H13" s="28">
        <f t="shared" si="1"/>
        <v>-6.25E-2</v>
      </c>
      <c r="I13" s="28">
        <f t="shared" ref="I13:J13" si="2">+I12/M12-1</f>
        <v>-5.0000000000000044E-2</v>
      </c>
      <c r="J13" s="28">
        <f t="shared" si="2"/>
        <v>-2.10280373831776E-2</v>
      </c>
    </row>
    <row r="14" spans="1:14" s="23" customFormat="1" x14ac:dyDescent="0.2">
      <c r="A14" s="31" t="s">
        <v>33</v>
      </c>
      <c r="B14" s="32" t="s">
        <v>32</v>
      </c>
      <c r="C14" s="32" t="s">
        <v>32</v>
      </c>
      <c r="D14" s="32" t="s">
        <v>32</v>
      </c>
      <c r="E14" s="32" t="s">
        <v>32</v>
      </c>
      <c r="F14" s="32" t="s">
        <v>32</v>
      </c>
      <c r="G14" s="32" t="s">
        <v>32</v>
      </c>
      <c r="H14" s="32" t="s">
        <v>32</v>
      </c>
      <c r="I14" s="32" t="s">
        <v>32</v>
      </c>
      <c r="J14" s="32" t="s">
        <v>32</v>
      </c>
      <c r="K14" s="32"/>
      <c r="L14" s="31"/>
      <c r="M14" s="31"/>
      <c r="N14" s="31"/>
    </row>
    <row r="16" spans="1:14" s="22" customFormat="1" x14ac:dyDescent="0.2">
      <c r="A16" s="30" t="s">
        <v>31</v>
      </c>
      <c r="B16" s="29">
        <v>90</v>
      </c>
      <c r="C16" s="29">
        <v>68</v>
      </c>
      <c r="D16" s="29">
        <v>98</v>
      </c>
      <c r="E16" s="29">
        <v>119</v>
      </c>
      <c r="F16" s="29">
        <v>60</v>
      </c>
      <c r="G16" s="29">
        <v>55</v>
      </c>
      <c r="H16" s="29">
        <v>72</v>
      </c>
      <c r="I16" s="29">
        <v>104</v>
      </c>
      <c r="J16" s="29">
        <v>83</v>
      </c>
      <c r="K16" s="29">
        <f>398-L16-M16-N16</f>
        <v>81</v>
      </c>
      <c r="L16" s="29">
        <v>95</v>
      </c>
      <c r="M16" s="29">
        <v>125</v>
      </c>
      <c r="N16" s="29">
        <v>97</v>
      </c>
    </row>
    <row r="17" spans="1:14" s="28" customFormat="1" x14ac:dyDescent="0.2">
      <c r="A17" s="28" t="s">
        <v>30</v>
      </c>
      <c r="B17" s="28">
        <f t="shared" ref="B17:H17" si="3">+B16/B12</f>
        <v>0.19108280254777071</v>
      </c>
      <c r="C17" s="28">
        <f t="shared" si="3"/>
        <v>0.14782608695652175</v>
      </c>
      <c r="D17" s="28">
        <f t="shared" si="3"/>
        <v>0.19140625</v>
      </c>
      <c r="E17" s="28">
        <f t="shared" si="3"/>
        <v>0.22284644194756553</v>
      </c>
      <c r="F17" s="28">
        <f t="shared" si="3"/>
        <v>0.13157894736842105</v>
      </c>
      <c r="G17" s="28">
        <f t="shared" si="3"/>
        <v>0.12471655328798185</v>
      </c>
      <c r="H17" s="28">
        <f t="shared" si="3"/>
        <v>0.15483870967741936</v>
      </c>
      <c r="I17" s="28">
        <f t="shared" ref="I17:N17" si="4">+I16/I12</f>
        <v>0.21052631578947367</v>
      </c>
      <c r="J17" s="28">
        <f t="shared" si="4"/>
        <v>0.19809069212410502</v>
      </c>
      <c r="K17" s="28">
        <f t="shared" si="4"/>
        <v>0.17763157894736842</v>
      </c>
      <c r="L17" s="28">
        <f t="shared" si="4"/>
        <v>0.19153225806451613</v>
      </c>
      <c r="M17" s="28">
        <f t="shared" si="4"/>
        <v>0.24038461538461539</v>
      </c>
      <c r="N17" s="28">
        <f t="shared" si="4"/>
        <v>0.22663551401869159</v>
      </c>
    </row>
    <row r="18" spans="1:14" s="23" customFormat="1" x14ac:dyDescent="0.2"/>
    <row r="19" spans="1:14" s="23" customFormat="1" x14ac:dyDescent="0.2">
      <c r="A19" s="15" t="s">
        <v>29</v>
      </c>
      <c r="B19" s="19">
        <v>0</v>
      </c>
      <c r="C19" s="19">
        <v>0</v>
      </c>
      <c r="D19" s="19">
        <v>0</v>
      </c>
      <c r="E19" s="19">
        <v>0</v>
      </c>
      <c r="F19" s="19">
        <v>0</v>
      </c>
      <c r="G19" s="19">
        <v>0</v>
      </c>
      <c r="H19" s="19">
        <v>0</v>
      </c>
      <c r="I19" s="19">
        <v>0</v>
      </c>
      <c r="J19" s="19">
        <v>0</v>
      </c>
      <c r="K19" s="19">
        <v>0</v>
      </c>
      <c r="L19" s="19">
        <v>0</v>
      </c>
      <c r="M19" s="19">
        <v>0</v>
      </c>
      <c r="N19" s="19">
        <v>0</v>
      </c>
    </row>
    <row r="20" spans="1:14" s="23" customFormat="1" x14ac:dyDescent="0.2">
      <c r="A20" s="15" t="s">
        <v>28</v>
      </c>
      <c r="B20" s="19">
        <v>0</v>
      </c>
      <c r="C20" s="19">
        <v>0</v>
      </c>
      <c r="D20" s="19">
        <v>0</v>
      </c>
      <c r="E20" s="19">
        <v>0</v>
      </c>
      <c r="F20" s="19">
        <v>0</v>
      </c>
      <c r="G20" s="19">
        <v>0</v>
      </c>
      <c r="H20" s="19">
        <v>0</v>
      </c>
      <c r="I20" s="19">
        <v>0</v>
      </c>
      <c r="J20" s="19">
        <v>0</v>
      </c>
      <c r="K20" s="19">
        <v>0</v>
      </c>
      <c r="L20" s="19">
        <v>0</v>
      </c>
      <c r="M20" s="19">
        <v>0</v>
      </c>
      <c r="N20" s="19">
        <v>0</v>
      </c>
    </row>
    <row r="21" spans="1:14" s="23" customFormat="1" x14ac:dyDescent="0.2">
      <c r="A21" s="15" t="s">
        <v>18</v>
      </c>
      <c r="B21" s="19">
        <v>0</v>
      </c>
      <c r="C21" s="19">
        <v>0</v>
      </c>
      <c r="D21" s="19">
        <v>0</v>
      </c>
      <c r="E21" s="19">
        <v>0</v>
      </c>
      <c r="F21" s="19">
        <v>0</v>
      </c>
      <c r="G21" s="19">
        <v>0</v>
      </c>
      <c r="H21" s="19">
        <v>0</v>
      </c>
      <c r="I21" s="19">
        <v>0</v>
      </c>
      <c r="J21" s="19">
        <v>0</v>
      </c>
      <c r="K21" s="19">
        <v>0</v>
      </c>
      <c r="L21" s="19">
        <v>0</v>
      </c>
      <c r="M21" s="19">
        <v>0</v>
      </c>
      <c r="N21" s="19">
        <v>0</v>
      </c>
    </row>
    <row r="22" spans="1:14" s="22" customFormat="1" x14ac:dyDescent="0.2">
      <c r="A22" s="22" t="s">
        <v>23</v>
      </c>
      <c r="B22" s="20">
        <f t="shared" ref="B22:H22" si="5">SUM(B16,B19:B21)</f>
        <v>90</v>
      </c>
      <c r="C22" s="20">
        <f t="shared" si="5"/>
        <v>68</v>
      </c>
      <c r="D22" s="20">
        <f t="shared" si="5"/>
        <v>98</v>
      </c>
      <c r="E22" s="20">
        <f t="shared" si="5"/>
        <v>119</v>
      </c>
      <c r="F22" s="20">
        <f t="shared" si="5"/>
        <v>60</v>
      </c>
      <c r="G22" s="20">
        <f t="shared" si="5"/>
        <v>55</v>
      </c>
      <c r="H22" s="20">
        <f t="shared" si="5"/>
        <v>72</v>
      </c>
      <c r="I22" s="20">
        <f t="shared" ref="I22:N22" si="6">SUM(I16,I19:I21)</f>
        <v>104</v>
      </c>
      <c r="J22" s="20">
        <f t="shared" si="6"/>
        <v>83</v>
      </c>
      <c r="K22" s="20">
        <f t="shared" si="6"/>
        <v>81</v>
      </c>
      <c r="L22" s="20">
        <f t="shared" si="6"/>
        <v>95</v>
      </c>
      <c r="M22" s="20">
        <f t="shared" si="6"/>
        <v>125</v>
      </c>
      <c r="N22" s="20">
        <f t="shared" si="6"/>
        <v>97</v>
      </c>
    </row>
    <row r="23" spans="1:14" s="22" customFormat="1" x14ac:dyDescent="0.2">
      <c r="B23" s="20"/>
      <c r="C23" s="20"/>
      <c r="D23" s="20"/>
      <c r="E23" s="20"/>
      <c r="F23" s="20"/>
      <c r="G23" s="20"/>
      <c r="H23" s="20"/>
      <c r="I23" s="20"/>
      <c r="J23" s="20"/>
      <c r="K23" s="20"/>
      <c r="L23" s="20"/>
      <c r="M23" s="20"/>
      <c r="N23" s="20"/>
    </row>
    <row r="24" spans="1:14" s="22" customFormat="1" x14ac:dyDescent="0.2">
      <c r="A24" s="22" t="s">
        <v>27</v>
      </c>
      <c r="B24" s="20">
        <f t="shared" ref="B24:H24" si="7">SUM(B22:E22)</f>
        <v>375</v>
      </c>
      <c r="C24" s="20">
        <f t="shared" si="7"/>
        <v>345</v>
      </c>
      <c r="D24" s="20">
        <f t="shared" si="7"/>
        <v>332</v>
      </c>
      <c r="E24" s="20">
        <f t="shared" si="7"/>
        <v>306</v>
      </c>
      <c r="F24" s="20">
        <f t="shared" si="7"/>
        <v>291</v>
      </c>
      <c r="G24" s="20">
        <f t="shared" si="7"/>
        <v>314</v>
      </c>
      <c r="H24" s="20">
        <f t="shared" si="7"/>
        <v>340</v>
      </c>
      <c r="I24" s="20"/>
      <c r="J24" s="20"/>
      <c r="K24" s="20"/>
      <c r="L24" s="20"/>
      <c r="M24" s="20"/>
      <c r="N24" s="20"/>
    </row>
    <row r="25" spans="1:14" s="23" customFormat="1" x14ac:dyDescent="0.2">
      <c r="A25" s="15" t="s">
        <v>26</v>
      </c>
      <c r="B25" s="27">
        <v>0</v>
      </c>
      <c r="C25" s="27">
        <v>0</v>
      </c>
      <c r="D25" s="27">
        <v>0</v>
      </c>
      <c r="E25" s="27">
        <v>0</v>
      </c>
      <c r="F25" s="27">
        <v>0</v>
      </c>
      <c r="G25" s="27">
        <v>0</v>
      </c>
      <c r="H25" s="27">
        <v>0</v>
      </c>
      <c r="I25" s="27"/>
      <c r="J25" s="27"/>
      <c r="K25" s="27"/>
      <c r="L25" s="27"/>
      <c r="M25" s="27"/>
      <c r="N25" s="27"/>
    </row>
    <row r="26" spans="1:14" s="23" customFormat="1" x14ac:dyDescent="0.2">
      <c r="A26" s="15" t="s">
        <v>25</v>
      </c>
      <c r="B26" s="21">
        <v>0</v>
      </c>
      <c r="C26" s="21">
        <v>0</v>
      </c>
      <c r="D26" s="21">
        <v>0</v>
      </c>
      <c r="E26" s="21">
        <v>0</v>
      </c>
      <c r="F26" s="21">
        <v>0</v>
      </c>
      <c r="G26" s="21">
        <v>0</v>
      </c>
      <c r="H26" s="21">
        <v>0</v>
      </c>
      <c r="I26" s="21"/>
      <c r="J26" s="21"/>
      <c r="K26" s="21"/>
      <c r="L26" s="21"/>
      <c r="M26" s="26"/>
      <c r="N26" s="26"/>
    </row>
    <row r="27" spans="1:14" s="24" customFormat="1" x14ac:dyDescent="0.2">
      <c r="A27" s="22" t="s">
        <v>24</v>
      </c>
      <c r="B27" s="20">
        <f t="shared" ref="B27:H27" si="8">SUM(B24:B26)</f>
        <v>375</v>
      </c>
      <c r="C27" s="20">
        <f t="shared" si="8"/>
        <v>345</v>
      </c>
      <c r="D27" s="20">
        <f t="shared" si="8"/>
        <v>332</v>
      </c>
      <c r="E27" s="20">
        <f t="shared" si="8"/>
        <v>306</v>
      </c>
      <c r="F27" s="20">
        <f t="shared" si="8"/>
        <v>291</v>
      </c>
      <c r="G27" s="20">
        <f t="shared" si="8"/>
        <v>314</v>
      </c>
      <c r="H27" s="20">
        <f t="shared" si="8"/>
        <v>340</v>
      </c>
      <c r="I27" s="20"/>
      <c r="J27" s="20"/>
      <c r="K27" s="20"/>
      <c r="L27" s="20"/>
      <c r="M27" s="25"/>
      <c r="N27" s="25"/>
    </row>
    <row r="28" spans="1:14" s="23" customFormat="1" x14ac:dyDescent="0.2"/>
    <row r="29" spans="1:14" s="22" customFormat="1" x14ac:dyDescent="0.2">
      <c r="A29" s="22" t="s">
        <v>23</v>
      </c>
      <c r="B29" s="20">
        <f t="shared" ref="B29" si="9">B22</f>
        <v>90</v>
      </c>
      <c r="C29" s="20">
        <f t="shared" ref="C29" si="10">C22</f>
        <v>68</v>
      </c>
      <c r="D29" s="20">
        <f t="shared" ref="D29:E29" si="11">D22</f>
        <v>98</v>
      </c>
      <c r="E29" s="20">
        <f t="shared" si="11"/>
        <v>119</v>
      </c>
      <c r="F29" s="20">
        <f t="shared" ref="F29:N29" si="12">F22</f>
        <v>60</v>
      </c>
      <c r="G29" s="20">
        <f t="shared" si="12"/>
        <v>55</v>
      </c>
      <c r="H29" s="20">
        <f t="shared" si="12"/>
        <v>72</v>
      </c>
      <c r="I29" s="20">
        <f t="shared" si="12"/>
        <v>104</v>
      </c>
      <c r="J29" s="20">
        <f t="shared" si="12"/>
        <v>83</v>
      </c>
      <c r="K29" s="20">
        <f t="shared" si="12"/>
        <v>81</v>
      </c>
      <c r="L29" s="20">
        <f t="shared" si="12"/>
        <v>95</v>
      </c>
      <c r="M29" s="20">
        <f t="shared" si="12"/>
        <v>125</v>
      </c>
      <c r="N29" s="20">
        <f t="shared" si="12"/>
        <v>97</v>
      </c>
    </row>
    <row r="30" spans="1:14" s="11" customFormat="1" x14ac:dyDescent="0.2">
      <c r="A30" s="19" t="s">
        <v>22</v>
      </c>
      <c r="B30" s="19"/>
      <c r="C30" s="19"/>
      <c r="D30" s="19"/>
      <c r="E30" s="19"/>
      <c r="F30" s="19"/>
      <c r="G30" s="19"/>
      <c r="H30" s="19"/>
      <c r="I30" s="19"/>
      <c r="J30" s="19"/>
      <c r="K30" s="19"/>
      <c r="L30" s="19"/>
      <c r="M30" s="19"/>
      <c r="N30" s="19"/>
    </row>
    <row r="31" spans="1:14" s="11" customFormat="1" x14ac:dyDescent="0.2">
      <c r="A31" s="19" t="s">
        <v>21</v>
      </c>
      <c r="B31" s="19"/>
      <c r="C31" s="19"/>
      <c r="D31" s="19"/>
      <c r="E31" s="19"/>
      <c r="F31" s="19"/>
      <c r="G31" s="19"/>
      <c r="H31" s="19"/>
      <c r="I31" s="19"/>
      <c r="J31" s="19"/>
      <c r="K31" s="19"/>
      <c r="L31" s="19"/>
      <c r="M31" s="19"/>
      <c r="N31" s="19"/>
    </row>
    <row r="32" spans="1:14" s="11" customFormat="1" x14ac:dyDescent="0.2">
      <c r="A32" s="19" t="s">
        <v>20</v>
      </c>
      <c r="B32" s="19"/>
      <c r="C32" s="19"/>
      <c r="D32" s="19"/>
      <c r="E32" s="19"/>
      <c r="F32" s="19"/>
      <c r="G32" s="19"/>
      <c r="H32" s="19"/>
      <c r="I32" s="19"/>
      <c r="J32" s="19"/>
      <c r="K32" s="19"/>
      <c r="L32" s="19"/>
      <c r="M32" s="19"/>
      <c r="N32" s="19"/>
    </row>
    <row r="33" spans="1:14" s="11" customFormat="1" x14ac:dyDescent="0.2">
      <c r="A33" s="19" t="s">
        <v>19</v>
      </c>
      <c r="B33" s="19"/>
      <c r="C33" s="19"/>
      <c r="D33" s="19"/>
      <c r="E33" s="19"/>
      <c r="F33" s="19"/>
      <c r="G33" s="19"/>
      <c r="H33" s="19"/>
      <c r="I33" s="19"/>
      <c r="J33" s="19"/>
      <c r="K33" s="19"/>
      <c r="L33" s="19"/>
      <c r="M33" s="19"/>
      <c r="N33" s="19"/>
    </row>
    <row r="34" spans="1:14" s="11" customFormat="1" x14ac:dyDescent="0.2">
      <c r="A34" s="19" t="s">
        <v>18</v>
      </c>
      <c r="B34" s="21"/>
      <c r="C34" s="21"/>
      <c r="D34" s="21"/>
      <c r="E34" s="21"/>
      <c r="F34" s="21"/>
      <c r="G34" s="21"/>
      <c r="H34" s="21"/>
      <c r="I34" s="21"/>
      <c r="J34" s="21"/>
      <c r="K34" s="21"/>
      <c r="L34" s="21"/>
      <c r="M34" s="21"/>
      <c r="N34" s="21"/>
    </row>
    <row r="35" spans="1:14" s="20" customFormat="1" x14ac:dyDescent="0.2">
      <c r="A35" s="20" t="s">
        <v>17</v>
      </c>
      <c r="B35" s="20">
        <v>75</v>
      </c>
      <c r="C35" s="20">
        <v>-13</v>
      </c>
      <c r="D35" s="20">
        <f>211-E35-F35</f>
        <v>39</v>
      </c>
      <c r="E35" s="20">
        <f>172-F35</f>
        <v>117</v>
      </c>
      <c r="F35" s="20">
        <v>55</v>
      </c>
      <c r="G35" s="20">
        <v>12</v>
      </c>
      <c r="H35" s="20">
        <f>152-I35-J35</f>
        <v>28</v>
      </c>
      <c r="I35" s="20">
        <f>124-J35</f>
        <v>51</v>
      </c>
      <c r="J35" s="20">
        <v>73</v>
      </c>
      <c r="K35" s="20">
        <f>229-L35-M35-N35</f>
        <v>25</v>
      </c>
      <c r="L35" s="20">
        <f>204-M35-N35</f>
        <v>66</v>
      </c>
      <c r="M35" s="20">
        <f>138-N35</f>
        <v>54</v>
      </c>
      <c r="N35" s="20">
        <v>84</v>
      </c>
    </row>
    <row r="36" spans="1:14" s="11" customFormat="1" x14ac:dyDescent="0.2">
      <c r="A36" s="19" t="s">
        <v>16</v>
      </c>
      <c r="B36" s="21">
        <v>-6</v>
      </c>
      <c r="C36" s="21">
        <v>-6</v>
      </c>
      <c r="D36" s="21">
        <f>-20-E36-F36</f>
        <v>-5</v>
      </c>
      <c r="E36" s="21">
        <f>-15-F36</f>
        <v>-6</v>
      </c>
      <c r="F36" s="21">
        <v>-9</v>
      </c>
      <c r="G36" s="21">
        <v>-6</v>
      </c>
      <c r="H36" s="21">
        <f>-19-I36-J36</f>
        <v>-6</v>
      </c>
      <c r="I36" s="21">
        <f>-13-J36</f>
        <v>-4</v>
      </c>
      <c r="J36" s="21">
        <v>-9</v>
      </c>
      <c r="K36" s="21">
        <f>-49-L36-M36-N36</f>
        <v>-7</v>
      </c>
      <c r="L36" s="21">
        <f>-42-M36-N36</f>
        <v>-7</v>
      </c>
      <c r="M36" s="21">
        <f>-35-N36</f>
        <v>-15</v>
      </c>
      <c r="N36" s="21">
        <v>-20</v>
      </c>
    </row>
    <row r="37" spans="1:14" s="20" customFormat="1" x14ac:dyDescent="0.2">
      <c r="A37" s="20" t="s">
        <v>15</v>
      </c>
      <c r="B37" s="20">
        <f t="shared" ref="B37:G37" si="13">+B35+B36</f>
        <v>69</v>
      </c>
      <c r="C37" s="20">
        <f t="shared" si="13"/>
        <v>-19</v>
      </c>
      <c r="D37" s="20">
        <f t="shared" si="13"/>
        <v>34</v>
      </c>
      <c r="E37" s="20">
        <f t="shared" si="13"/>
        <v>111</v>
      </c>
      <c r="F37" s="20">
        <f t="shared" si="13"/>
        <v>46</v>
      </c>
      <c r="G37" s="20">
        <f t="shared" si="13"/>
        <v>6</v>
      </c>
      <c r="H37" s="20">
        <f t="shared" ref="H37" si="14">+H35+H36</f>
        <v>22</v>
      </c>
      <c r="I37" s="20">
        <f t="shared" ref="I37:M37" si="15">+I35+I36</f>
        <v>47</v>
      </c>
      <c r="J37" s="20">
        <f>+J35+J36</f>
        <v>64</v>
      </c>
      <c r="K37" s="20">
        <f t="shared" si="15"/>
        <v>18</v>
      </c>
      <c r="L37" s="20">
        <f t="shared" ref="L37" si="16">+L35+L36</f>
        <v>59</v>
      </c>
      <c r="M37" s="20">
        <f t="shared" si="15"/>
        <v>39</v>
      </c>
      <c r="N37" s="20">
        <f t="shared" ref="N37" si="17">+N35+N36</f>
        <v>64</v>
      </c>
    </row>
    <row r="39" spans="1:14" s="16" customFormat="1" x14ac:dyDescent="0.2">
      <c r="A39" s="18" t="s">
        <v>14</v>
      </c>
      <c r="B39" s="19">
        <v>0</v>
      </c>
      <c r="C39" s="19">
        <v>0</v>
      </c>
      <c r="D39" s="19">
        <v>0</v>
      </c>
      <c r="E39" s="19">
        <v>0</v>
      </c>
      <c r="F39" s="19">
        <v>0</v>
      </c>
      <c r="G39" s="19">
        <v>0</v>
      </c>
      <c r="H39" s="19">
        <v>0</v>
      </c>
      <c r="I39" s="19"/>
      <c r="J39" s="19"/>
      <c r="K39" s="19"/>
      <c r="L39" s="19"/>
      <c r="M39" s="19"/>
      <c r="N39" s="19"/>
    </row>
    <row r="40" spans="1:14" s="16" customFormat="1" x14ac:dyDescent="0.2">
      <c r="A40" s="18" t="s">
        <v>13</v>
      </c>
      <c r="B40" s="19">
        <f>539+91</f>
        <v>630</v>
      </c>
      <c r="C40" s="19">
        <f>539+95</f>
        <v>634</v>
      </c>
      <c r="D40" s="19">
        <f>546+93</f>
        <v>639</v>
      </c>
      <c r="E40" s="19">
        <f>591+95</f>
        <v>686</v>
      </c>
      <c r="F40" s="19">
        <f>599+94</f>
        <v>693</v>
      </c>
      <c r="G40" s="19">
        <f>593+95</f>
        <v>688</v>
      </c>
      <c r="H40" s="19">
        <v>711</v>
      </c>
      <c r="I40" s="19"/>
      <c r="J40" s="19"/>
      <c r="K40" s="19"/>
      <c r="L40" s="19"/>
      <c r="M40" s="19"/>
      <c r="N40" s="19"/>
    </row>
    <row r="41" spans="1:14" s="16" customFormat="1" x14ac:dyDescent="0.2">
      <c r="A41" s="18" t="s">
        <v>12</v>
      </c>
      <c r="B41" s="19">
        <f>+B39+B40+170+41+73</f>
        <v>914</v>
      </c>
      <c r="C41" s="19">
        <f>+C39+C40+169+41+77</f>
        <v>921</v>
      </c>
      <c r="D41" s="19">
        <f>D39+D40+750+186+49+82</f>
        <v>1706</v>
      </c>
      <c r="E41" s="19">
        <f>E39+E40+743+168+40+87</f>
        <v>1724</v>
      </c>
      <c r="F41" s="19">
        <f>F39+F40+750+186+49+86</f>
        <v>1764</v>
      </c>
      <c r="G41" s="19">
        <f>G39+G40+742+167+40+100</f>
        <v>1737</v>
      </c>
      <c r="H41" s="19">
        <f>H39+H40+750+340</f>
        <v>1801</v>
      </c>
      <c r="I41" s="19"/>
      <c r="J41" s="19"/>
      <c r="K41" s="19"/>
      <c r="L41" s="19"/>
      <c r="M41" s="19"/>
      <c r="N41" s="19"/>
    </row>
    <row r="42" spans="1:14" s="16" customFormat="1" x14ac:dyDescent="0.2">
      <c r="A42" s="18" t="s">
        <v>11</v>
      </c>
      <c r="B42" s="17">
        <f>C42</f>
        <v>5435.4282950999996</v>
      </c>
      <c r="C42" s="17">
        <f>D42</f>
        <v>5435.4282950999996</v>
      </c>
      <c r="D42" s="17">
        <f>E42</f>
        <v>5435.4282950999996</v>
      </c>
      <c r="E42" s="17">
        <f>131991945/1000000*41.18</f>
        <v>5435.4282950999996</v>
      </c>
      <c r="F42" s="17">
        <f>131934902/1000000*33.15</f>
        <v>4373.6420012999997</v>
      </c>
      <c r="G42" s="17">
        <f>135444913/1000000*37.18</f>
        <v>5035.8418653400004</v>
      </c>
      <c r="H42" s="17">
        <v>5774</v>
      </c>
      <c r="I42" s="17"/>
      <c r="J42" s="17"/>
      <c r="K42" s="17"/>
      <c r="L42" s="17"/>
      <c r="M42" s="17"/>
      <c r="N42" s="17"/>
    </row>
    <row r="43" spans="1:14" x14ac:dyDescent="0.2">
      <c r="B43" s="16"/>
      <c r="C43" s="16"/>
      <c r="D43" s="16"/>
      <c r="E43" s="16"/>
      <c r="F43" s="16"/>
      <c r="G43" s="16"/>
      <c r="H43" s="16"/>
      <c r="I43" s="16"/>
      <c r="J43" s="16"/>
    </row>
    <row r="44" spans="1:14" x14ac:dyDescent="0.2">
      <c r="A44" s="15" t="s">
        <v>10</v>
      </c>
      <c r="B44" s="27">
        <v>484</v>
      </c>
      <c r="C44" s="27">
        <v>615</v>
      </c>
      <c r="D44" s="27">
        <v>377</v>
      </c>
      <c r="E44" s="27">
        <v>302</v>
      </c>
      <c r="F44" s="27">
        <v>185</v>
      </c>
      <c r="G44" s="27">
        <v>280</v>
      </c>
      <c r="H44" s="27">
        <v>293</v>
      </c>
      <c r="I44" s="27"/>
      <c r="J44" s="27"/>
      <c r="K44" s="27"/>
      <c r="L44" s="27"/>
      <c r="M44" s="27"/>
      <c r="N44" s="14"/>
    </row>
    <row r="46" spans="1:14" x14ac:dyDescent="0.2">
      <c r="A46" s="1" t="s">
        <v>9</v>
      </c>
      <c r="B46" s="13">
        <f t="shared" ref="B46:H46" si="18">SUM(B12:E12)</f>
        <v>1977</v>
      </c>
      <c r="C46" s="13">
        <f t="shared" si="18"/>
        <v>1962</v>
      </c>
      <c r="D46" s="13">
        <f t="shared" si="18"/>
        <v>1943</v>
      </c>
      <c r="E46" s="13">
        <f t="shared" si="18"/>
        <v>1896</v>
      </c>
      <c r="F46" s="13">
        <f t="shared" si="18"/>
        <v>1856</v>
      </c>
      <c r="G46" s="13">
        <f t="shared" si="18"/>
        <v>1819</v>
      </c>
      <c r="H46" s="13">
        <f t="shared" si="18"/>
        <v>1834</v>
      </c>
      <c r="I46" s="11"/>
      <c r="J46" s="11"/>
      <c r="K46" s="11"/>
      <c r="L46" s="11"/>
    </row>
    <row r="47" spans="1:14" x14ac:dyDescent="0.2">
      <c r="A47" s="1" t="s">
        <v>8</v>
      </c>
      <c r="B47" s="13">
        <f t="shared" ref="B47:H47" si="19">B27</f>
        <v>375</v>
      </c>
      <c r="C47" s="13">
        <f t="shared" si="19"/>
        <v>345</v>
      </c>
      <c r="D47" s="13">
        <f t="shared" si="19"/>
        <v>332</v>
      </c>
      <c r="E47" s="13">
        <f t="shared" si="19"/>
        <v>306</v>
      </c>
      <c r="F47" s="13">
        <f t="shared" si="19"/>
        <v>291</v>
      </c>
      <c r="G47" s="13">
        <f t="shared" si="19"/>
        <v>314</v>
      </c>
      <c r="H47" s="13">
        <f t="shared" si="19"/>
        <v>340</v>
      </c>
      <c r="I47" s="11"/>
      <c r="J47" s="11"/>
      <c r="K47" s="11"/>
      <c r="L47" s="11"/>
    </row>
    <row r="48" spans="1:14" x14ac:dyDescent="0.2">
      <c r="A48" s="1" t="s">
        <v>7</v>
      </c>
      <c r="B48" s="13">
        <f t="shared" ref="B48:H48" si="20">SUM(B37:E37)</f>
        <v>195</v>
      </c>
      <c r="C48" s="13">
        <f t="shared" si="20"/>
        <v>172</v>
      </c>
      <c r="D48" s="13">
        <f t="shared" si="20"/>
        <v>197</v>
      </c>
      <c r="E48" s="13">
        <f t="shared" si="20"/>
        <v>185</v>
      </c>
      <c r="F48" s="13">
        <f t="shared" si="20"/>
        <v>121</v>
      </c>
      <c r="G48" s="13">
        <f t="shared" si="20"/>
        <v>139</v>
      </c>
      <c r="H48" s="13">
        <f t="shared" si="20"/>
        <v>151</v>
      </c>
      <c r="I48" s="11"/>
      <c r="J48" s="11"/>
      <c r="K48" s="11"/>
      <c r="L48" s="11"/>
    </row>
    <row r="50" spans="1:14" s="10" customFormat="1" x14ac:dyDescent="0.2">
      <c r="A50" s="10" t="s">
        <v>6</v>
      </c>
      <c r="B50" s="10">
        <f t="shared" ref="B50:H50" si="21">+SUM(B39:B40)/B47</f>
        <v>1.68</v>
      </c>
      <c r="C50" s="10">
        <f t="shared" si="21"/>
        <v>1.8376811594202898</v>
      </c>
      <c r="D50" s="10">
        <f t="shared" si="21"/>
        <v>1.9246987951807228</v>
      </c>
      <c r="E50" s="10">
        <f t="shared" si="21"/>
        <v>2.2418300653594772</v>
      </c>
      <c r="F50" s="10">
        <f t="shared" si="21"/>
        <v>2.3814432989690721</v>
      </c>
      <c r="G50" s="10">
        <f t="shared" si="21"/>
        <v>2.1910828025477707</v>
      </c>
      <c r="H50" s="10">
        <f t="shared" si="21"/>
        <v>2.0911764705882354</v>
      </c>
    </row>
    <row r="51" spans="1:14" s="10" customFormat="1" x14ac:dyDescent="0.2">
      <c r="A51" s="10" t="s">
        <v>5</v>
      </c>
      <c r="B51" s="10">
        <f t="shared" ref="B51:H51" si="22">+B41/B47</f>
        <v>2.4373333333333331</v>
      </c>
      <c r="C51" s="10">
        <f t="shared" si="22"/>
        <v>2.6695652173913045</v>
      </c>
      <c r="D51" s="10">
        <f t="shared" si="22"/>
        <v>5.1385542168674698</v>
      </c>
      <c r="E51" s="10">
        <f t="shared" si="22"/>
        <v>5.6339869281045756</v>
      </c>
      <c r="F51" s="10">
        <f t="shared" si="22"/>
        <v>6.0618556701030926</v>
      </c>
      <c r="G51" s="10">
        <f t="shared" si="22"/>
        <v>5.531847133757962</v>
      </c>
      <c r="H51" s="10">
        <f t="shared" si="22"/>
        <v>5.2970588235294116</v>
      </c>
    </row>
    <row r="52" spans="1:14" s="10" customFormat="1" x14ac:dyDescent="0.2">
      <c r="A52" s="10" t="s">
        <v>4</v>
      </c>
      <c r="B52" s="10">
        <f t="shared" ref="B52:H52" si="23">+(B41-B44)/B47</f>
        <v>1.1466666666666667</v>
      </c>
      <c r="C52" s="10">
        <f t="shared" si="23"/>
        <v>0.88695652173913042</v>
      </c>
      <c r="D52" s="10">
        <f t="shared" si="23"/>
        <v>4.0030120481927707</v>
      </c>
      <c r="E52" s="10">
        <f t="shared" si="23"/>
        <v>4.6470588235294121</v>
      </c>
      <c r="F52" s="10">
        <f t="shared" si="23"/>
        <v>5.4261168384879728</v>
      </c>
      <c r="G52" s="10">
        <f t="shared" si="23"/>
        <v>4.6401273885350323</v>
      </c>
      <c r="H52" s="10">
        <f t="shared" si="23"/>
        <v>4.4352941176470591</v>
      </c>
    </row>
    <row r="53" spans="1:14" s="6" customFormat="1" x14ac:dyDescent="0.2">
      <c r="A53" s="6" t="s">
        <v>3</v>
      </c>
      <c r="B53" s="6">
        <f t="shared" ref="B53:H53" si="24">+B48/B41</f>
        <v>0.21334792122538293</v>
      </c>
      <c r="C53" s="6">
        <f t="shared" si="24"/>
        <v>0.18675352877307275</v>
      </c>
      <c r="D53" s="6">
        <f t="shared" si="24"/>
        <v>0.11547479484173505</v>
      </c>
      <c r="E53" s="6">
        <f t="shared" si="24"/>
        <v>0.10730858468677494</v>
      </c>
      <c r="F53" s="6">
        <f t="shared" si="24"/>
        <v>6.8594104308390025E-2</v>
      </c>
      <c r="G53" s="6">
        <f t="shared" si="24"/>
        <v>8.0023028209556701E-2</v>
      </c>
      <c r="H53" s="6">
        <f t="shared" si="24"/>
        <v>8.3842309827873399E-2</v>
      </c>
    </row>
    <row r="54" spans="1:14" s="6" customFormat="1" x14ac:dyDescent="0.2">
      <c r="A54" s="8" t="s">
        <v>2</v>
      </c>
      <c r="B54" s="9"/>
      <c r="C54" s="9"/>
      <c r="D54" s="9"/>
      <c r="E54" s="9"/>
      <c r="F54" s="9"/>
      <c r="G54" s="9"/>
      <c r="H54" s="9"/>
      <c r="I54" s="9"/>
      <c r="J54" s="9"/>
      <c r="K54" s="9"/>
      <c r="L54" s="9"/>
      <c r="M54" s="8"/>
      <c r="N54" s="8"/>
    </row>
    <row r="55" spans="1:14" s="6" customFormat="1" x14ac:dyDescent="0.2">
      <c r="A55" s="6" t="s">
        <v>1</v>
      </c>
      <c r="B55" s="7">
        <f t="shared" ref="B55:H55" si="25">IF(B42=0,IF(B54="","","*"&amp;TEXT(B54,"0.0x")),(B41+B42-B44)/B47)</f>
        <v>15.641142120266666</v>
      </c>
      <c r="C55" s="7">
        <f t="shared" si="25"/>
        <v>16.641821145217389</v>
      </c>
      <c r="D55" s="7">
        <f t="shared" si="25"/>
        <v>20.37478402138554</v>
      </c>
      <c r="E55" s="7">
        <f t="shared" si="25"/>
        <v>22.409896389215685</v>
      </c>
      <c r="F55" s="7">
        <f t="shared" si="25"/>
        <v>20.455814437457043</v>
      </c>
      <c r="G55" s="7">
        <f t="shared" si="25"/>
        <v>20.677840335477708</v>
      </c>
      <c r="H55" s="7">
        <f t="shared" si="25"/>
        <v>21.41764705882353</v>
      </c>
      <c r="I55" s="7"/>
      <c r="J55" s="7"/>
      <c r="K55" s="7"/>
      <c r="L55" s="7"/>
      <c r="M55" s="7" t="str">
        <f t="shared" ref="M55:N55" si="26">IF(M42=0,IF(M54="","",CONCATENATE("* ",M54,"x")),(M41+M42-M44)/M47)</f>
        <v/>
      </c>
      <c r="N55" s="7" t="str">
        <f t="shared" si="26"/>
        <v/>
      </c>
    </row>
    <row r="56" spans="1:14" x14ac:dyDescent="0.2">
      <c r="L56" s="3"/>
    </row>
    <row r="57" spans="1:14" ht="80.25" customHeight="1" x14ac:dyDescent="0.2">
      <c r="A57" s="5" t="s">
        <v>0</v>
      </c>
      <c r="B57" s="4" t="s">
        <v>236</v>
      </c>
      <c r="C57" s="4" t="s">
        <v>279</v>
      </c>
      <c r="D57" s="4" t="s">
        <v>236</v>
      </c>
      <c r="E57" s="4" t="s">
        <v>236</v>
      </c>
      <c r="F57" s="4" t="s">
        <v>236</v>
      </c>
      <c r="G57" s="4" t="s">
        <v>279</v>
      </c>
      <c r="H57" s="4" t="s">
        <v>104</v>
      </c>
      <c r="I57" s="4"/>
      <c r="J57" s="4"/>
      <c r="K57" s="4"/>
      <c r="L57" s="4"/>
      <c r="M57" s="4"/>
      <c r="N57" s="4"/>
    </row>
    <row r="58" spans="1:14" x14ac:dyDescent="0.2">
      <c r="A58" s="2"/>
      <c r="B58" s="3"/>
      <c r="C58" s="3"/>
      <c r="D58" s="3"/>
      <c r="E58" s="3"/>
      <c r="F58" s="3"/>
      <c r="G58" s="3"/>
      <c r="H58" s="3"/>
    </row>
    <row r="59" spans="1:14" x14ac:dyDescent="0.2">
      <c r="A59" s="2"/>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R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17" width="10.7109375" style="1" customWidth="1"/>
    <col min="18" max="16384" width="9.140625" style="1"/>
  </cols>
  <sheetData>
    <row r="2" spans="1:18" x14ac:dyDescent="0.2">
      <c r="A2" s="34" t="s">
        <v>45</v>
      </c>
      <c r="B2" s="1" t="s">
        <v>100</v>
      </c>
    </row>
    <row r="3" spans="1:18" s="35" customFormat="1" x14ac:dyDescent="0.2">
      <c r="A3" s="36" t="s">
        <v>43</v>
      </c>
      <c r="B3" s="35" t="s">
        <v>134</v>
      </c>
    </row>
    <row r="4" spans="1:18" x14ac:dyDescent="0.2">
      <c r="A4" s="34" t="s">
        <v>41</v>
      </c>
      <c r="B4" s="1" t="s">
        <v>40</v>
      </c>
    </row>
    <row r="5" spans="1:18" x14ac:dyDescent="0.2">
      <c r="A5" s="34" t="s">
        <v>39</v>
      </c>
    </row>
    <row r="6" spans="1:18" x14ac:dyDescent="0.2">
      <c r="A6" s="34" t="s">
        <v>38</v>
      </c>
    </row>
    <row r="7" spans="1:18" x14ac:dyDescent="0.2">
      <c r="A7" s="34" t="s">
        <v>37</v>
      </c>
      <c r="B7" s="1" t="s">
        <v>173</v>
      </c>
    </row>
    <row r="8" spans="1:18" x14ac:dyDescent="0.2">
      <c r="A8" s="34" t="s">
        <v>281</v>
      </c>
      <c r="B8" s="1" t="s">
        <v>321</v>
      </c>
    </row>
    <row r="9" spans="1:18" x14ac:dyDescent="0.2">
      <c r="A9" s="22"/>
    </row>
    <row r="10" spans="1:18" x14ac:dyDescent="0.2">
      <c r="A10" s="22" t="s">
        <v>36</v>
      </c>
      <c r="B10" s="33">
        <v>44227</v>
      </c>
      <c r="C10" s="33">
        <v>44135</v>
      </c>
      <c r="D10" s="33">
        <v>44043</v>
      </c>
      <c r="E10" s="33">
        <v>43951</v>
      </c>
      <c r="F10" s="33">
        <v>43861</v>
      </c>
      <c r="G10" s="33">
        <v>43769</v>
      </c>
      <c r="H10" s="33">
        <v>43677</v>
      </c>
      <c r="I10" s="33">
        <v>43585</v>
      </c>
      <c r="J10" s="33">
        <v>43496</v>
      </c>
      <c r="K10" s="33">
        <v>43404</v>
      </c>
      <c r="L10" s="33">
        <f t="shared" ref="L10:Q10" si="0">EOMONTH(K10,-3)</f>
        <v>43312</v>
      </c>
      <c r="M10" s="33">
        <f t="shared" si="0"/>
        <v>43220</v>
      </c>
      <c r="N10" s="33">
        <f t="shared" si="0"/>
        <v>43131</v>
      </c>
      <c r="O10" s="33">
        <f t="shared" si="0"/>
        <v>43039</v>
      </c>
      <c r="P10" s="33">
        <f t="shared" si="0"/>
        <v>42947</v>
      </c>
      <c r="Q10" s="33">
        <f t="shared" si="0"/>
        <v>42855</v>
      </c>
    </row>
    <row r="11" spans="1:18" x14ac:dyDescent="0.2">
      <c r="I11" s="56"/>
    </row>
    <row r="12" spans="1:18" x14ac:dyDescent="0.2">
      <c r="A12" s="15" t="s">
        <v>35</v>
      </c>
      <c r="B12" s="19">
        <v>24.292000000000002</v>
      </c>
      <c r="C12" s="19">
        <v>31.558</v>
      </c>
      <c r="D12" s="19">
        <v>20.120999999999999</v>
      </c>
      <c r="E12" s="19">
        <v>41.337000000000003</v>
      </c>
      <c r="F12" s="19">
        <v>71.81</v>
      </c>
      <c r="G12" s="19">
        <v>73.578000000000003</v>
      </c>
      <c r="H12" s="19">
        <v>76.293000000000006</v>
      </c>
      <c r="I12" s="19">
        <v>71.239999999999995</v>
      </c>
      <c r="J12" s="19">
        <v>68.355000000000004</v>
      </c>
      <c r="K12" s="19">
        <v>71.075999999999993</v>
      </c>
      <c r="L12" s="19">
        <v>72.355999999999995</v>
      </c>
      <c r="M12" s="19">
        <f>139.052-L12</f>
        <v>66.695999999999998</v>
      </c>
      <c r="N12" s="19">
        <v>52.344000000000001</v>
      </c>
      <c r="O12" s="19">
        <f>53.243</f>
        <v>53.243000000000002</v>
      </c>
      <c r="P12" s="19">
        <v>54.1</v>
      </c>
      <c r="Q12" s="19">
        <v>53.557000000000002</v>
      </c>
      <c r="R12" s="56"/>
    </row>
    <row r="13" spans="1:18" s="28" customFormat="1" x14ac:dyDescent="0.2">
      <c r="A13" s="28" t="s">
        <v>34</v>
      </c>
      <c r="B13" s="28">
        <f t="shared" ref="B13:M13" si="1">B12/F12-1</f>
        <v>-0.66171842361788058</v>
      </c>
      <c r="C13" s="28">
        <f t="shared" si="1"/>
        <v>-0.57109462067465822</v>
      </c>
      <c r="D13" s="28">
        <f t="shared" si="1"/>
        <v>-0.73626676103967603</v>
      </c>
      <c r="E13" s="28">
        <f t="shared" si="1"/>
        <v>-0.41975014037057823</v>
      </c>
      <c r="F13" s="28">
        <f t="shared" si="1"/>
        <v>5.0544949162460551E-2</v>
      </c>
      <c r="G13" s="28">
        <f t="shared" si="1"/>
        <v>3.5201755866959505E-2</v>
      </c>
      <c r="H13" s="28">
        <f t="shared" si="1"/>
        <v>5.4411520813754333E-2</v>
      </c>
      <c r="I13" s="28">
        <f t="shared" si="1"/>
        <v>6.8130022789972378E-2</v>
      </c>
      <c r="J13" s="28">
        <f t="shared" si="1"/>
        <v>0.30588033012379645</v>
      </c>
      <c r="K13" s="28">
        <f t="shared" si="1"/>
        <v>0.33493604793118337</v>
      </c>
      <c r="L13" s="28">
        <f t="shared" si="1"/>
        <v>0.33744916820702398</v>
      </c>
      <c r="M13" s="28">
        <f t="shared" si="1"/>
        <v>0.24532740818193699</v>
      </c>
    </row>
    <row r="14" spans="1:18"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c r="O14" s="32"/>
      <c r="P14" s="31"/>
      <c r="Q14" s="31"/>
    </row>
    <row r="16" spans="1:18" s="22" customFormat="1" x14ac:dyDescent="0.2">
      <c r="A16" s="30" t="s">
        <v>31</v>
      </c>
      <c r="B16" s="29">
        <v>24.612000000000009</v>
      </c>
      <c r="C16" s="29">
        <v>25.282</v>
      </c>
      <c r="D16" s="29">
        <v>27.366999999999997</v>
      </c>
      <c r="E16" s="29">
        <v>27.003</v>
      </c>
      <c r="F16" s="29">
        <v>24.611999999999998</v>
      </c>
      <c r="G16" s="29">
        <v>25.282</v>
      </c>
      <c r="H16" s="29">
        <v>27.366999999999997</v>
      </c>
      <c r="I16" s="29">
        <v>27.268999999999998</v>
      </c>
      <c r="J16" s="29">
        <v>23.978000000000002</v>
      </c>
      <c r="K16" s="29">
        <v>23.408000000000001</v>
      </c>
      <c r="L16" s="29">
        <v>24.363</v>
      </c>
      <c r="M16" s="29">
        <f>48.699-L16</f>
        <v>24.335999999999999</v>
      </c>
      <c r="N16" s="29">
        <v>17.111000000000001</v>
      </c>
      <c r="O16" s="29">
        <v>17.196999999999999</v>
      </c>
      <c r="P16" s="29">
        <v>18.3</v>
      </c>
      <c r="Q16" s="29">
        <v>18.497</v>
      </c>
    </row>
    <row r="17" spans="1:17" s="28" customFormat="1" x14ac:dyDescent="0.2">
      <c r="A17" s="28" t="s">
        <v>30</v>
      </c>
      <c r="B17" s="28">
        <f t="shared" ref="B17" si="2">B16/B12</f>
        <v>1.0131730610900711</v>
      </c>
      <c r="C17" s="28">
        <f t="shared" ref="C17:D17" si="3">C16/C12</f>
        <v>0.80112808162747962</v>
      </c>
      <c r="D17" s="28">
        <f t="shared" si="3"/>
        <v>1.360121266338651</v>
      </c>
      <c r="E17" s="28">
        <f t="shared" ref="E17:F17" si="4">E16/E12</f>
        <v>0.65324043834821099</v>
      </c>
      <c r="F17" s="28">
        <f t="shared" si="4"/>
        <v>0.34273778025344653</v>
      </c>
      <c r="G17" s="28">
        <f t="shared" ref="G17:H17" si="5">G16/G12</f>
        <v>0.34360814373861753</v>
      </c>
      <c r="H17" s="28">
        <f t="shared" si="5"/>
        <v>0.3587091869503099</v>
      </c>
      <c r="I17" s="28">
        <f t="shared" ref="I17:Q17" si="6">I16/I12</f>
        <v>0.38277653003930379</v>
      </c>
      <c r="J17" s="28">
        <f t="shared" si="6"/>
        <v>0.35078633603979226</v>
      </c>
      <c r="K17" s="28">
        <f t="shared" si="6"/>
        <v>0.32933761044515736</v>
      </c>
      <c r="L17" s="28">
        <f t="shared" si="6"/>
        <v>0.33671015534302617</v>
      </c>
      <c r="M17" s="28">
        <f t="shared" si="6"/>
        <v>0.36487945304066211</v>
      </c>
      <c r="N17" s="28">
        <f t="shared" si="6"/>
        <v>0.3268951551276173</v>
      </c>
      <c r="O17" s="28">
        <f t="shared" si="6"/>
        <v>0.32299081569408183</v>
      </c>
      <c r="P17" s="28">
        <f t="shared" si="6"/>
        <v>0.33826247689463956</v>
      </c>
      <c r="Q17" s="28">
        <f t="shared" si="6"/>
        <v>0.34537035308176334</v>
      </c>
    </row>
    <row r="18" spans="1:17" s="23" customFormat="1" x14ac:dyDescent="0.2"/>
    <row r="19" spans="1:17"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c r="P19" s="19">
        <v>0</v>
      </c>
      <c r="Q19" s="19">
        <v>0</v>
      </c>
    </row>
    <row r="20" spans="1:17"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c r="P20" s="19">
        <v>0</v>
      </c>
      <c r="Q20" s="19">
        <v>0</v>
      </c>
    </row>
    <row r="21" spans="1:17"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c r="P21" s="19">
        <v>0</v>
      </c>
      <c r="Q21" s="19">
        <v>0</v>
      </c>
    </row>
    <row r="22" spans="1:17" s="22" customFormat="1" x14ac:dyDescent="0.2">
      <c r="A22" s="22" t="s">
        <v>23</v>
      </c>
      <c r="B22" s="20">
        <f t="shared" ref="B22" si="7">B16+B19+B20+B21</f>
        <v>24.612000000000009</v>
      </c>
      <c r="C22" s="20">
        <f t="shared" ref="C22:D22" si="8">C16+C19+C20+C21</f>
        <v>25.282</v>
      </c>
      <c r="D22" s="20">
        <f t="shared" si="8"/>
        <v>27.366999999999997</v>
      </c>
      <c r="E22" s="20">
        <f t="shared" ref="E22:F22" si="9">E16+E19+E20+E21</f>
        <v>27.003</v>
      </c>
      <c r="F22" s="20">
        <f t="shared" si="9"/>
        <v>24.611999999999998</v>
      </c>
      <c r="G22" s="20">
        <f t="shared" ref="G22:H22" si="10">G16+G19+G20+G21</f>
        <v>25.282</v>
      </c>
      <c r="H22" s="20">
        <f t="shared" si="10"/>
        <v>27.366999999999997</v>
      </c>
      <c r="I22" s="20">
        <f t="shared" ref="I22:Q22" si="11">I16+I19+I20+I21</f>
        <v>27.268999999999998</v>
      </c>
      <c r="J22" s="20">
        <f t="shared" si="11"/>
        <v>23.978000000000002</v>
      </c>
      <c r="K22" s="20">
        <f t="shared" si="11"/>
        <v>23.408000000000001</v>
      </c>
      <c r="L22" s="20">
        <f t="shared" si="11"/>
        <v>24.363</v>
      </c>
      <c r="M22" s="20">
        <f t="shared" si="11"/>
        <v>24.335999999999999</v>
      </c>
      <c r="N22" s="20">
        <f t="shared" si="11"/>
        <v>17.111000000000001</v>
      </c>
      <c r="O22" s="20">
        <f t="shared" si="11"/>
        <v>17.196999999999999</v>
      </c>
      <c r="P22" s="20">
        <f t="shared" si="11"/>
        <v>18.3</v>
      </c>
      <c r="Q22" s="20">
        <f t="shared" si="11"/>
        <v>18.497</v>
      </c>
    </row>
    <row r="23" spans="1:17" s="22" customFormat="1" x14ac:dyDescent="0.2">
      <c r="B23" s="28"/>
      <c r="C23" s="28"/>
      <c r="D23" s="28"/>
      <c r="E23" s="28"/>
      <c r="F23" s="28"/>
      <c r="G23" s="28"/>
      <c r="H23" s="28"/>
      <c r="I23" s="28"/>
      <c r="J23" s="28"/>
      <c r="K23" s="28"/>
      <c r="L23" s="20"/>
      <c r="M23" s="20"/>
      <c r="N23" s="20"/>
      <c r="O23" s="20"/>
      <c r="P23" s="20"/>
      <c r="Q23" s="20"/>
    </row>
    <row r="24" spans="1:17" s="22" customFormat="1" x14ac:dyDescent="0.2">
      <c r="A24" s="22" t="s">
        <v>27</v>
      </c>
      <c r="B24" s="63">
        <f t="shared" ref="B24:J24" si="12">SUM(B16:E16)</f>
        <v>104.264</v>
      </c>
      <c r="C24" s="63">
        <f t="shared" si="12"/>
        <v>104.264</v>
      </c>
      <c r="D24" s="63">
        <f t="shared" si="12"/>
        <v>104.264</v>
      </c>
      <c r="E24" s="63">
        <f t="shared" si="12"/>
        <v>104.26399999999998</v>
      </c>
      <c r="F24" s="63">
        <f t="shared" si="12"/>
        <v>104.53</v>
      </c>
      <c r="G24" s="63">
        <f t="shared" si="12"/>
        <v>103.89600000000002</v>
      </c>
      <c r="H24" s="63">
        <f t="shared" si="12"/>
        <v>102.02200000000001</v>
      </c>
      <c r="I24" s="63">
        <f t="shared" si="12"/>
        <v>99.018000000000001</v>
      </c>
      <c r="J24" s="63">
        <f t="shared" si="12"/>
        <v>96.084999999999994</v>
      </c>
      <c r="K24" s="61">
        <v>76.5</v>
      </c>
      <c r="L24" s="20"/>
      <c r="M24" s="61">
        <v>72.099999999999994</v>
      </c>
      <c r="N24" s="20"/>
      <c r="O24" s="20"/>
      <c r="P24" s="20"/>
      <c r="Q24" s="20"/>
    </row>
    <row r="25" spans="1:17" s="23" customFormat="1" x14ac:dyDescent="0.2">
      <c r="A25" s="15" t="s">
        <v>26</v>
      </c>
      <c r="B25" s="27">
        <f>104.3-B24</f>
        <v>3.6000000000001364E-2</v>
      </c>
      <c r="C25" s="27">
        <f>104.3-C24</f>
        <v>3.6000000000001364E-2</v>
      </c>
      <c r="D25" s="27">
        <f>104.3-D24</f>
        <v>3.6000000000001364E-2</v>
      </c>
      <c r="E25" s="27">
        <v>0</v>
      </c>
      <c r="F25" s="27">
        <v>0</v>
      </c>
      <c r="G25" s="27">
        <v>0</v>
      </c>
      <c r="H25" s="27">
        <v>0</v>
      </c>
      <c r="I25" s="27">
        <v>0</v>
      </c>
      <c r="J25" s="27">
        <v>0</v>
      </c>
      <c r="K25" s="27">
        <v>0</v>
      </c>
      <c r="L25" s="27"/>
      <c r="M25" s="27">
        <v>0</v>
      </c>
      <c r="N25" s="27"/>
      <c r="O25" s="27"/>
      <c r="P25" s="27"/>
      <c r="Q25" s="27"/>
    </row>
    <row r="26" spans="1:17" s="23" customFormat="1" x14ac:dyDescent="0.2">
      <c r="A26" s="15" t="s">
        <v>25</v>
      </c>
      <c r="B26" s="21">
        <f>104.3-B25-B24</f>
        <v>0</v>
      </c>
      <c r="C26" s="21">
        <f>104.3-C25-C24</f>
        <v>0</v>
      </c>
      <c r="D26" s="21">
        <f>104.3-D25-D24</f>
        <v>0</v>
      </c>
      <c r="E26" s="21">
        <f>104.3-E25-E24</f>
        <v>3.6000000000015575E-2</v>
      </c>
      <c r="F26" s="21">
        <f>104.531-F25-F24</f>
        <v>1.0000000000047748E-3</v>
      </c>
      <c r="G26" s="21">
        <f>106.6-G25-G24</f>
        <v>2.7039999999999793</v>
      </c>
      <c r="H26" s="21">
        <f>106.3-H25-H24</f>
        <v>4.2779999999999916</v>
      </c>
      <c r="I26" s="21">
        <f>109.6-I25-I24</f>
        <v>10.581999999999994</v>
      </c>
      <c r="J26" s="21">
        <f>109.5-J25-J24</f>
        <v>13.415000000000006</v>
      </c>
      <c r="K26" s="21">
        <f>106.6-K25-K24</f>
        <v>30.099999999999994</v>
      </c>
      <c r="L26" s="21"/>
      <c r="M26" s="21">
        <v>0</v>
      </c>
      <c r="N26" s="21"/>
      <c r="O26" s="21"/>
      <c r="P26" s="21"/>
      <c r="Q26" s="26"/>
    </row>
    <row r="27" spans="1:17" s="24" customFormat="1" x14ac:dyDescent="0.2">
      <c r="A27" s="22" t="s">
        <v>24</v>
      </c>
      <c r="B27" s="20">
        <f t="shared" ref="B27" si="13">B24+B25+B26</f>
        <v>104.3</v>
      </c>
      <c r="C27" s="20">
        <f t="shared" ref="C27:D27" si="14">C24+C25+C26</f>
        <v>104.3</v>
      </c>
      <c r="D27" s="20">
        <f t="shared" si="14"/>
        <v>104.3</v>
      </c>
      <c r="E27" s="20">
        <f t="shared" ref="E27:K27" si="15">E24+E25+E26</f>
        <v>104.3</v>
      </c>
      <c r="F27" s="20">
        <f t="shared" si="15"/>
        <v>104.53100000000001</v>
      </c>
      <c r="G27" s="20">
        <f t="shared" si="15"/>
        <v>106.6</v>
      </c>
      <c r="H27" s="20">
        <f t="shared" si="15"/>
        <v>106.3</v>
      </c>
      <c r="I27" s="20">
        <f t="shared" si="15"/>
        <v>109.6</v>
      </c>
      <c r="J27" s="20">
        <f t="shared" si="15"/>
        <v>109.5</v>
      </c>
      <c r="K27" s="20">
        <f t="shared" si="15"/>
        <v>106.6</v>
      </c>
      <c r="L27" s="20"/>
      <c r="M27" s="20">
        <f>M24+M25+M26</f>
        <v>72.099999999999994</v>
      </c>
      <c r="N27" s="20"/>
      <c r="O27" s="20"/>
      <c r="P27" s="20"/>
      <c r="Q27" s="25"/>
    </row>
    <row r="28" spans="1:17" s="23" customFormat="1" x14ac:dyDescent="0.2"/>
    <row r="29" spans="1:17" s="22" customFormat="1" x14ac:dyDescent="0.2">
      <c r="A29" s="22" t="s">
        <v>23</v>
      </c>
      <c r="B29" s="20">
        <f t="shared" ref="B29" si="16">B16</f>
        <v>24.612000000000009</v>
      </c>
      <c r="C29" s="20">
        <f t="shared" ref="C29:D29" si="17">C16</f>
        <v>25.282</v>
      </c>
      <c r="D29" s="20">
        <f t="shared" si="17"/>
        <v>27.366999999999997</v>
      </c>
      <c r="E29" s="20">
        <f t="shared" ref="E29:M29" si="18">E16</f>
        <v>27.003</v>
      </c>
      <c r="F29" s="20">
        <f t="shared" si="18"/>
        <v>24.611999999999998</v>
      </c>
      <c r="G29" s="20">
        <f t="shared" si="18"/>
        <v>25.282</v>
      </c>
      <c r="H29" s="20">
        <f t="shared" si="18"/>
        <v>27.366999999999997</v>
      </c>
      <c r="I29" s="20">
        <f t="shared" si="18"/>
        <v>27.268999999999998</v>
      </c>
      <c r="J29" s="20">
        <f t="shared" si="18"/>
        <v>23.978000000000002</v>
      </c>
      <c r="K29" s="20">
        <f t="shared" si="18"/>
        <v>23.408000000000001</v>
      </c>
      <c r="L29" s="20">
        <f t="shared" si="18"/>
        <v>24.363</v>
      </c>
      <c r="M29" s="20">
        <f t="shared" si="18"/>
        <v>24.335999999999999</v>
      </c>
      <c r="N29" s="20"/>
      <c r="O29" s="20">
        <f>O16</f>
        <v>17.196999999999999</v>
      </c>
      <c r="P29" s="20">
        <f>P16</f>
        <v>18.3</v>
      </c>
      <c r="Q29" s="20">
        <f>Q16</f>
        <v>18.497</v>
      </c>
    </row>
    <row r="30" spans="1:17" s="11" customFormat="1" x14ac:dyDescent="0.2">
      <c r="A30" s="19" t="s">
        <v>22</v>
      </c>
      <c r="B30" s="19">
        <v>-10.706000000000003</v>
      </c>
      <c r="C30" s="19">
        <v>-11.422000000000001</v>
      </c>
      <c r="D30" s="19">
        <v>-12.339</v>
      </c>
      <c r="E30" s="19">
        <v>-12.241</v>
      </c>
      <c r="F30" s="19">
        <v>-11.704000000000008</v>
      </c>
      <c r="G30" s="19">
        <v>-12.95</v>
      </c>
      <c r="H30" s="19">
        <v>-14.048999999999999</v>
      </c>
      <c r="I30" s="19">
        <v>-14.095000000000001</v>
      </c>
      <c r="J30" s="19">
        <v>-32.680999999999997</v>
      </c>
      <c r="K30" s="19">
        <v>-10.111000000000001</v>
      </c>
      <c r="L30" s="19">
        <v>-9.6999999999999993</v>
      </c>
      <c r="M30" s="19">
        <v>-9.1999999999999993</v>
      </c>
      <c r="N30" s="19"/>
      <c r="O30" s="19"/>
      <c r="P30" s="19"/>
      <c r="Q30" s="19"/>
    </row>
    <row r="31" spans="1:17" s="11" customFormat="1" x14ac:dyDescent="0.2">
      <c r="A31" s="19" t="s">
        <v>21</v>
      </c>
      <c r="B31" s="19">
        <v>8.5719999999999992</v>
      </c>
      <c r="C31" s="19">
        <v>8.3160000000000007</v>
      </c>
      <c r="D31" s="19">
        <v>8.1539999999999999</v>
      </c>
      <c r="E31" s="19">
        <v>6.2140000000000004</v>
      </c>
      <c r="F31" s="19">
        <v>-5.3849999999999998</v>
      </c>
      <c r="G31" s="19">
        <v>2.3620000000000001</v>
      </c>
      <c r="H31" s="19">
        <v>1.93</v>
      </c>
      <c r="I31" s="19">
        <v>-1.212</v>
      </c>
      <c r="J31" s="19">
        <v>17.448</v>
      </c>
      <c r="K31" s="19">
        <v>0</v>
      </c>
      <c r="L31" s="19">
        <v>0</v>
      </c>
      <c r="M31" s="19">
        <v>0</v>
      </c>
      <c r="N31" s="19"/>
      <c r="O31" s="19"/>
      <c r="P31" s="19"/>
      <c r="Q31" s="19"/>
    </row>
    <row r="32" spans="1:17" s="11" customFormat="1" x14ac:dyDescent="0.2">
      <c r="A32" s="19" t="s">
        <v>20</v>
      </c>
      <c r="B32" s="19">
        <v>13.787999999999993</v>
      </c>
      <c r="C32" s="19">
        <v>-4.3899999999999997</v>
      </c>
      <c r="D32" s="19">
        <v>2.4370000000000007</v>
      </c>
      <c r="E32" s="19">
        <v>-4.5999999999999264E-2</v>
      </c>
      <c r="F32" s="19">
        <v>5.2990000000000013</v>
      </c>
      <c r="G32" s="19">
        <v>2.3029999999999982</v>
      </c>
      <c r="H32" s="19">
        <v>-0.69200000000000195</v>
      </c>
      <c r="I32" s="19">
        <v>-0.60999999999999899</v>
      </c>
      <c r="J32" s="19">
        <v>23.777000000000001</v>
      </c>
      <c r="K32" s="19">
        <v>-1.9129999999999998</v>
      </c>
      <c r="L32" s="19">
        <v>-7.1</v>
      </c>
      <c r="M32" s="19">
        <v>5.6</v>
      </c>
      <c r="N32" s="19"/>
      <c r="O32" s="19"/>
      <c r="P32" s="19"/>
      <c r="Q32" s="19"/>
    </row>
    <row r="33" spans="1:17" s="11" customFormat="1" x14ac:dyDescent="0.2">
      <c r="A33" s="19" t="s">
        <v>19</v>
      </c>
      <c r="B33" s="19"/>
      <c r="C33" s="19"/>
      <c r="D33" s="19"/>
      <c r="E33" s="19"/>
      <c r="F33" s="19"/>
      <c r="G33" s="19"/>
      <c r="H33" s="19"/>
      <c r="I33" s="19"/>
      <c r="J33" s="19"/>
      <c r="K33" s="19"/>
      <c r="L33" s="19"/>
      <c r="M33" s="19"/>
      <c r="N33" s="19"/>
      <c r="O33" s="19"/>
      <c r="P33" s="19"/>
      <c r="Q33" s="19"/>
    </row>
    <row r="34" spans="1:17" s="11" customFormat="1" x14ac:dyDescent="0.2">
      <c r="A34" s="19" t="s">
        <v>18</v>
      </c>
      <c r="B34" s="21"/>
      <c r="C34" s="21"/>
      <c r="D34" s="21"/>
      <c r="E34" s="21"/>
      <c r="F34" s="21"/>
      <c r="G34" s="21"/>
      <c r="H34" s="21"/>
      <c r="I34" s="21"/>
      <c r="J34" s="21"/>
      <c r="K34" s="21"/>
      <c r="L34" s="21"/>
      <c r="M34" s="21"/>
      <c r="N34" s="21"/>
      <c r="O34" s="21"/>
      <c r="P34" s="21"/>
      <c r="Q34" s="21"/>
    </row>
    <row r="35" spans="1:17" s="20" customFormat="1" x14ac:dyDescent="0.2">
      <c r="A35" s="20" t="s">
        <v>17</v>
      </c>
      <c r="B35" s="20">
        <v>-14.385000000000005</v>
      </c>
      <c r="C35" s="20">
        <v>-17.065999999999999</v>
      </c>
      <c r="D35" s="20">
        <v>-10.407999999999999</v>
      </c>
      <c r="E35" s="20">
        <v>-9.1319999999999997</v>
      </c>
      <c r="F35" s="20">
        <f>34.119-G35-H35-I35</f>
        <v>9.6379999999999981</v>
      </c>
      <c r="G35" s="20">
        <v>9.9830000000000005</v>
      </c>
      <c r="H35" s="20">
        <v>8.0990000000000002</v>
      </c>
      <c r="I35" s="20">
        <v>6.399</v>
      </c>
      <c r="J35" s="20">
        <v>20.311</v>
      </c>
      <c r="K35" s="20">
        <v>-30.076000000000001</v>
      </c>
      <c r="L35" s="20">
        <v>-2.3000000000000007</v>
      </c>
      <c r="M35" s="20">
        <v>11.4</v>
      </c>
      <c r="P35" s="20">
        <f>5.1-Q35</f>
        <v>2.8</v>
      </c>
      <c r="Q35" s="20">
        <v>2.2999999999999998</v>
      </c>
    </row>
    <row r="36" spans="1:17" s="11" customFormat="1" x14ac:dyDescent="0.2">
      <c r="A36" s="19" t="s">
        <v>16</v>
      </c>
      <c r="B36" s="21">
        <v>-2.9109999999999996</v>
      </c>
      <c r="C36" s="21">
        <v>-1.7669999999999999</v>
      </c>
      <c r="D36" s="21">
        <v>-3.6469999999999998</v>
      </c>
      <c r="E36" s="21">
        <v>-5.2080000000000002</v>
      </c>
      <c r="F36" s="21">
        <f>-44.55-G36-H36-I36</f>
        <v>-10.465999999999998</v>
      </c>
      <c r="G36" s="21">
        <v>-15.707000000000001</v>
      </c>
      <c r="H36" s="21">
        <v>-13.439</v>
      </c>
      <c r="I36" s="21">
        <v>-4.9379999999999997</v>
      </c>
      <c r="J36" s="21">
        <v>-9.4920000000000009</v>
      </c>
      <c r="K36" s="21">
        <v>-8.2059999999999995</v>
      </c>
      <c r="L36" s="21">
        <v>-10.5</v>
      </c>
      <c r="M36" s="21">
        <v>-8.5</v>
      </c>
      <c r="N36" s="21"/>
      <c r="O36" s="21"/>
      <c r="P36" s="21">
        <f>-9.7-Q36</f>
        <v>-6.2999999999999989</v>
      </c>
      <c r="Q36" s="21">
        <v>-3.4</v>
      </c>
    </row>
    <row r="37" spans="1:17" s="20" customFormat="1" x14ac:dyDescent="0.2">
      <c r="A37" s="20" t="s">
        <v>15</v>
      </c>
      <c r="B37" s="20">
        <f t="shared" ref="B37:M37" si="19">B35+B36</f>
        <v>-17.296000000000006</v>
      </c>
      <c r="C37" s="20">
        <f t="shared" si="19"/>
        <v>-18.832999999999998</v>
      </c>
      <c r="D37" s="20">
        <f t="shared" si="19"/>
        <v>-14.055</v>
      </c>
      <c r="E37" s="20">
        <f t="shared" si="19"/>
        <v>-14.34</v>
      </c>
      <c r="F37" s="20">
        <f t="shared" si="19"/>
        <v>-0.8279999999999994</v>
      </c>
      <c r="G37" s="20">
        <f t="shared" si="19"/>
        <v>-5.7240000000000002</v>
      </c>
      <c r="H37" s="20">
        <f t="shared" si="19"/>
        <v>-5.34</v>
      </c>
      <c r="I37" s="20">
        <f t="shared" si="19"/>
        <v>1.4610000000000003</v>
      </c>
      <c r="J37" s="20">
        <f t="shared" si="19"/>
        <v>10.818999999999999</v>
      </c>
      <c r="K37" s="20">
        <f t="shared" si="19"/>
        <v>-38.281999999999996</v>
      </c>
      <c r="L37" s="20">
        <f t="shared" si="19"/>
        <v>-12.8</v>
      </c>
      <c r="M37" s="20">
        <f t="shared" si="19"/>
        <v>2.9000000000000004</v>
      </c>
      <c r="P37" s="20">
        <f>P35+P36</f>
        <v>-3.4999999999999991</v>
      </c>
      <c r="Q37" s="20">
        <f>Q35+Q36</f>
        <v>-1.1000000000000001</v>
      </c>
    </row>
    <row r="38" spans="1:17" x14ac:dyDescent="0.2">
      <c r="B38" s="11"/>
      <c r="C38" s="11"/>
      <c r="D38" s="11"/>
      <c r="E38" s="11"/>
      <c r="F38" s="11"/>
      <c r="G38" s="11"/>
      <c r="H38" s="11"/>
    </row>
    <row r="39" spans="1:17" s="16" customFormat="1" x14ac:dyDescent="0.2">
      <c r="A39" s="18" t="s">
        <v>14</v>
      </c>
      <c r="B39" s="19">
        <v>17</v>
      </c>
      <c r="C39" s="19">
        <v>17</v>
      </c>
      <c r="D39" s="19">
        <v>17</v>
      </c>
      <c r="E39" s="19">
        <v>17</v>
      </c>
      <c r="F39" s="19">
        <v>0</v>
      </c>
      <c r="G39" s="19">
        <v>0</v>
      </c>
      <c r="H39" s="19">
        <v>0</v>
      </c>
      <c r="I39" s="19">
        <v>0</v>
      </c>
      <c r="J39" s="19">
        <v>0</v>
      </c>
      <c r="K39" s="19">
        <v>5</v>
      </c>
      <c r="L39" s="19">
        <v>0</v>
      </c>
      <c r="M39" s="19"/>
      <c r="N39" s="19"/>
      <c r="O39" s="19"/>
      <c r="P39" s="19"/>
      <c r="Q39" s="19"/>
    </row>
    <row r="40" spans="1:17" s="16" customFormat="1" x14ac:dyDescent="0.2">
      <c r="A40" s="18" t="s">
        <v>13</v>
      </c>
      <c r="B40" s="19">
        <v>513.6</v>
      </c>
      <c r="C40" s="19">
        <v>514.9380000000001</v>
      </c>
      <c r="D40" s="19">
        <v>516.20000000000005</v>
      </c>
      <c r="E40" s="19">
        <v>517.4</v>
      </c>
      <c r="F40" s="19">
        <v>518.68799999999999</v>
      </c>
      <c r="G40" s="19">
        <v>520</v>
      </c>
      <c r="H40" s="19">
        <v>521.20000000000005</v>
      </c>
      <c r="I40" s="19">
        <v>502.5</v>
      </c>
      <c r="J40" s="19">
        <v>503.7</v>
      </c>
      <c r="K40" s="19">
        <f>340+165</f>
        <v>505</v>
      </c>
      <c r="L40" s="19">
        <f>340+1.9</f>
        <v>341.9</v>
      </c>
      <c r="M40" s="19"/>
      <c r="N40" s="19"/>
      <c r="O40" s="19"/>
      <c r="P40" s="19"/>
      <c r="Q40" s="19"/>
    </row>
    <row r="41" spans="1:17" s="16" customFormat="1" x14ac:dyDescent="0.2">
      <c r="A41" s="18" t="s">
        <v>12</v>
      </c>
      <c r="B41" s="19">
        <f t="shared" ref="B41:H41" si="20">B39+B40+190</f>
        <v>720.6</v>
      </c>
      <c r="C41" s="19">
        <f t="shared" si="20"/>
        <v>721.9380000000001</v>
      </c>
      <c r="D41" s="19">
        <f t="shared" si="20"/>
        <v>723.2</v>
      </c>
      <c r="E41" s="19">
        <f t="shared" si="20"/>
        <v>724.4</v>
      </c>
      <c r="F41" s="19">
        <f t="shared" si="20"/>
        <v>708.68799999999999</v>
      </c>
      <c r="G41" s="19">
        <f t="shared" si="20"/>
        <v>710</v>
      </c>
      <c r="H41" s="19">
        <f t="shared" si="20"/>
        <v>711.2</v>
      </c>
      <c r="I41" s="19">
        <f>I39+I40+165</f>
        <v>667.5</v>
      </c>
      <c r="J41" s="19">
        <f>J39+J40+165</f>
        <v>668.7</v>
      </c>
      <c r="K41" s="19">
        <f>K40+K39+125+40</f>
        <v>675</v>
      </c>
      <c r="L41" s="19">
        <f>L39+L40+125</f>
        <v>466.9</v>
      </c>
      <c r="M41" s="19"/>
      <c r="N41" s="19"/>
      <c r="O41" s="19"/>
      <c r="P41" s="19"/>
      <c r="Q41" s="19"/>
    </row>
    <row r="42" spans="1:17" s="16" customFormat="1" x14ac:dyDescent="0.2">
      <c r="A42" s="18" t="s">
        <v>11</v>
      </c>
      <c r="B42" s="17">
        <v>397.6</v>
      </c>
      <c r="C42" s="17">
        <v>397.6</v>
      </c>
      <c r="D42" s="17">
        <v>397.6</v>
      </c>
      <c r="E42" s="17">
        <v>397.6</v>
      </c>
      <c r="F42" s="17">
        <v>397.6</v>
      </c>
      <c r="G42" s="17">
        <v>397.6</v>
      </c>
      <c r="H42" s="17">
        <v>397.6</v>
      </c>
      <c r="I42" s="17">
        <v>397.6</v>
      </c>
      <c r="J42" s="17">
        <v>397.6</v>
      </c>
      <c r="K42" s="17">
        <v>397.6</v>
      </c>
      <c r="L42" s="17">
        <v>397.6</v>
      </c>
      <c r="M42" s="17"/>
      <c r="N42" s="17"/>
      <c r="O42" s="17"/>
      <c r="P42" s="17"/>
      <c r="Q42" s="17"/>
    </row>
    <row r="43" spans="1:17" x14ac:dyDescent="0.2">
      <c r="B43" s="16"/>
      <c r="C43" s="16"/>
      <c r="D43" s="16"/>
      <c r="E43" s="16"/>
      <c r="F43" s="16"/>
      <c r="G43" s="16"/>
      <c r="H43" s="16"/>
      <c r="I43" s="16"/>
      <c r="J43" s="16"/>
      <c r="K43" s="16"/>
      <c r="L43" s="16"/>
      <c r="M43" s="16"/>
      <c r="N43" s="16"/>
    </row>
    <row r="44" spans="1:17" x14ac:dyDescent="0.2">
      <c r="A44" s="15" t="s">
        <v>10</v>
      </c>
      <c r="B44" s="27">
        <v>30</v>
      </c>
      <c r="C44" s="27">
        <v>48.65</v>
      </c>
      <c r="D44" s="27">
        <v>68.599999999999994</v>
      </c>
      <c r="E44" s="27">
        <v>84</v>
      </c>
      <c r="F44" s="27">
        <v>82.578000000000003</v>
      </c>
      <c r="G44" s="27">
        <v>81.7</v>
      </c>
      <c r="H44" s="27">
        <v>43.511000000000003</v>
      </c>
      <c r="I44" s="27">
        <v>49.6</v>
      </c>
      <c r="J44" s="27">
        <v>9.8000000000000007</v>
      </c>
      <c r="K44" s="27">
        <v>6</v>
      </c>
      <c r="L44" s="27">
        <v>5</v>
      </c>
      <c r="M44" s="27"/>
      <c r="N44" s="27"/>
      <c r="O44" s="27"/>
      <c r="P44" s="27"/>
      <c r="Q44" s="27"/>
    </row>
    <row r="46" spans="1:17" x14ac:dyDescent="0.2">
      <c r="A46" s="1" t="s">
        <v>9</v>
      </c>
      <c r="B46" s="13">
        <f>C46+B12-F12</f>
        <v>117.30799999999994</v>
      </c>
      <c r="C46" s="13">
        <f>D46+C12-G12</f>
        <v>164.82599999999994</v>
      </c>
      <c r="D46" s="13">
        <f>E46+D12-H12</f>
        <v>206.84599999999995</v>
      </c>
      <c r="E46" s="13">
        <f>F46+E12-I12</f>
        <v>263.01799999999997</v>
      </c>
      <c r="F46" s="12">
        <v>292.92099999999999</v>
      </c>
      <c r="G46" s="13">
        <f>H46+G12-K12</f>
        <v>302.41600000000005</v>
      </c>
      <c r="H46" s="13">
        <f>I46+H12-L12</f>
        <v>299.91400000000004</v>
      </c>
      <c r="I46" s="12">
        <f>J46+73.269-71.94</f>
        <v>295.97700000000003</v>
      </c>
      <c r="J46" s="12">
        <f>294.648</f>
        <v>294.64800000000002</v>
      </c>
      <c r="K46" s="12">
        <v>303</v>
      </c>
      <c r="L46" s="12">
        <v>221</v>
      </c>
      <c r="M46" s="11"/>
      <c r="N46" s="11"/>
      <c r="O46" s="11"/>
      <c r="P46" s="11"/>
    </row>
    <row r="47" spans="1:17" x14ac:dyDescent="0.2">
      <c r="A47" s="1" t="s">
        <v>8</v>
      </c>
      <c r="B47" s="13">
        <f t="shared" ref="B47:C47" si="21">B27</f>
        <v>104.3</v>
      </c>
      <c r="C47" s="13">
        <f t="shared" si="21"/>
        <v>104.3</v>
      </c>
      <c r="D47" s="13">
        <f t="shared" ref="D47:E47" si="22">D27</f>
        <v>104.3</v>
      </c>
      <c r="E47" s="13">
        <f t="shared" si="22"/>
        <v>104.3</v>
      </c>
      <c r="F47" s="13">
        <f t="shared" ref="F47:K47" si="23">F27</f>
        <v>104.53100000000001</v>
      </c>
      <c r="G47" s="13">
        <f t="shared" si="23"/>
        <v>106.6</v>
      </c>
      <c r="H47" s="13">
        <f t="shared" si="23"/>
        <v>106.3</v>
      </c>
      <c r="I47" s="13">
        <f t="shared" si="23"/>
        <v>109.6</v>
      </c>
      <c r="J47" s="13">
        <f t="shared" si="23"/>
        <v>109.5</v>
      </c>
      <c r="K47" s="11">
        <f t="shared" si="23"/>
        <v>106.6</v>
      </c>
      <c r="L47" s="12">
        <v>72</v>
      </c>
      <c r="M47" s="11"/>
      <c r="N47" s="11"/>
      <c r="O47" s="11"/>
      <c r="P47" s="11"/>
    </row>
    <row r="48" spans="1:17" x14ac:dyDescent="0.2">
      <c r="A48" s="1" t="s">
        <v>7</v>
      </c>
      <c r="B48" s="11">
        <f>SUM(B37:E37)</f>
        <v>-64.524000000000001</v>
      </c>
      <c r="C48" s="11">
        <f>SUM(C37:F37)</f>
        <v>-48.055999999999997</v>
      </c>
      <c r="D48" s="11">
        <f>SUM(D37:G37)</f>
        <v>-34.947000000000003</v>
      </c>
      <c r="E48" s="11">
        <f>SUM(E37:H37)</f>
        <v>-26.231999999999999</v>
      </c>
      <c r="F48" s="11">
        <f>SUM(F37:I37)</f>
        <v>-10.430999999999999</v>
      </c>
      <c r="G48" s="11">
        <f t="shared" ref="G48:K48" si="24">G47*H48/H47</f>
        <v>36.125466722222207</v>
      </c>
      <c r="H48" s="11">
        <f t="shared" si="24"/>
        <v>36.02380030555554</v>
      </c>
      <c r="I48" s="11">
        <f t="shared" si="24"/>
        <v>37.142130888888872</v>
      </c>
      <c r="J48" s="11">
        <f t="shared" si="24"/>
        <v>37.108242083333323</v>
      </c>
      <c r="K48" s="11">
        <f t="shared" si="24"/>
        <v>36.125466722222214</v>
      </c>
      <c r="L48" s="12">
        <v>24.399939999999994</v>
      </c>
      <c r="M48" s="11"/>
      <c r="N48" s="11"/>
      <c r="O48" s="11"/>
      <c r="P48" s="11"/>
    </row>
    <row r="50" spans="1:17" s="10" customFormat="1" x14ac:dyDescent="0.2">
      <c r="A50" s="10" t="s">
        <v>6</v>
      </c>
      <c r="B50" s="10">
        <f t="shared" ref="B50" si="25">+SUM(B39:B40)/B47</f>
        <v>5.0872483221476514</v>
      </c>
      <c r="C50" s="10">
        <f t="shared" ref="C50:D50" si="26">+SUM(C39:C40)/C47</f>
        <v>5.1000767018216697</v>
      </c>
      <c r="D50" s="10">
        <f t="shared" si="26"/>
        <v>5.1121764141898378</v>
      </c>
      <c r="E50" s="10">
        <f t="shared" ref="E50:F50" si="27">+SUM(E39:E40)/E47</f>
        <v>5.1236816874400768</v>
      </c>
      <c r="F50" s="10">
        <f t="shared" si="27"/>
        <v>4.9620495355444794</v>
      </c>
      <c r="G50" s="10">
        <f t="shared" ref="G50:L50" si="28">+SUM(G39:G40)/G47</f>
        <v>4.8780487804878048</v>
      </c>
      <c r="H50" s="10">
        <f t="shared" si="28"/>
        <v>4.9031044214487309</v>
      </c>
      <c r="I50" s="10">
        <f t="shared" si="28"/>
        <v>4.5848540145985401</v>
      </c>
      <c r="J50" s="10">
        <f t="shared" si="28"/>
        <v>4.5999999999999996</v>
      </c>
      <c r="K50" s="10">
        <f t="shared" si="28"/>
        <v>4.784240150093809</v>
      </c>
      <c r="L50" s="10">
        <f t="shared" si="28"/>
        <v>4.7486111111111109</v>
      </c>
    </row>
    <row r="51" spans="1:17" s="10" customFormat="1" x14ac:dyDescent="0.2">
      <c r="A51" s="10" t="s">
        <v>5</v>
      </c>
      <c r="B51" s="10">
        <f t="shared" ref="B51" si="29">+B41/B47</f>
        <v>6.9089165867689362</v>
      </c>
      <c r="C51" s="10">
        <f t="shared" ref="C51:D51" si="30">+C41/C47</f>
        <v>6.9217449664429544</v>
      </c>
      <c r="D51" s="10">
        <f t="shared" si="30"/>
        <v>6.9338446788111225</v>
      </c>
      <c r="E51" s="10">
        <f t="shared" ref="E51:F51" si="31">+E41/E47</f>
        <v>6.9453499520613615</v>
      </c>
      <c r="F51" s="10">
        <f t="shared" si="31"/>
        <v>6.7796921487405646</v>
      </c>
      <c r="G51" s="10">
        <f t="shared" ref="G51:L51" si="32">+G41/G47</f>
        <v>6.6604127579737336</v>
      </c>
      <c r="H51" s="10">
        <f t="shared" si="32"/>
        <v>6.6904985888993425</v>
      </c>
      <c r="I51" s="10">
        <f t="shared" si="32"/>
        <v>6.0903284671532854</v>
      </c>
      <c r="J51" s="10">
        <f t="shared" si="32"/>
        <v>6.1068493150684935</v>
      </c>
      <c r="K51" s="10">
        <f t="shared" si="32"/>
        <v>6.3320825515947474</v>
      </c>
      <c r="L51" s="10">
        <f t="shared" si="32"/>
        <v>6.4847222222222216</v>
      </c>
    </row>
    <row r="52" spans="1:17" s="10" customFormat="1" x14ac:dyDescent="0.2">
      <c r="A52" s="10" t="s">
        <v>4</v>
      </c>
      <c r="B52" s="10">
        <f t="shared" ref="B52" si="33">+(B41-B44)/B47</f>
        <v>6.6212847555129439</v>
      </c>
      <c r="C52" s="10">
        <f t="shared" ref="C52:D52" si="34">+(C41-C44)/C47</f>
        <v>6.4553020134228198</v>
      </c>
      <c r="D52" s="10">
        <f t="shared" si="34"/>
        <v>6.2761265580057533</v>
      </c>
      <c r="E52" s="10">
        <f t="shared" ref="E52:F52" si="35">+(E41-E44)/E47</f>
        <v>6.1399808245445833</v>
      </c>
      <c r="F52" s="10">
        <f t="shared" si="35"/>
        <v>5.9897064028852682</v>
      </c>
      <c r="G52" s="10">
        <f t="shared" ref="G52:L52" si="36">+(G41-G44)/G47</f>
        <v>5.8939962476547842</v>
      </c>
      <c r="H52" s="10">
        <f t="shared" si="36"/>
        <v>6.2811759172154291</v>
      </c>
      <c r="I52" s="10">
        <f t="shared" si="36"/>
        <v>5.6377737226277373</v>
      </c>
      <c r="J52" s="10">
        <f t="shared" si="36"/>
        <v>6.0173515981735166</v>
      </c>
      <c r="K52" s="10">
        <f t="shared" si="36"/>
        <v>6.2757973733583494</v>
      </c>
      <c r="L52" s="10">
        <f t="shared" si="36"/>
        <v>6.4152777777777779</v>
      </c>
    </row>
    <row r="53" spans="1:17" s="6" customFormat="1" x14ac:dyDescent="0.2">
      <c r="A53" s="6" t="s">
        <v>3</v>
      </c>
      <c r="B53" s="6">
        <f t="shared" ref="B53" si="37">+B48/B41</f>
        <v>-8.9542048293089094E-2</v>
      </c>
      <c r="C53" s="6">
        <f t="shared" ref="C53:D53" si="38">+C48/C41</f>
        <v>-6.6565272918173019E-2</v>
      </c>
      <c r="D53" s="6">
        <f t="shared" si="38"/>
        <v>-4.8322732300884956E-2</v>
      </c>
      <c r="E53" s="6">
        <f t="shared" ref="E53:F53" si="39">+E48/E41</f>
        <v>-3.6212037548315847E-2</v>
      </c>
      <c r="F53" s="6">
        <f t="shared" si="39"/>
        <v>-1.4718747883412727E-2</v>
      </c>
      <c r="G53" s="6">
        <f t="shared" ref="G53:L53" si="40">+G48/G41</f>
        <v>5.0880939045383392E-2</v>
      </c>
      <c r="H53" s="6">
        <f t="shared" si="40"/>
        <v>5.0652137662479661E-2</v>
      </c>
      <c r="I53" s="6">
        <f t="shared" si="40"/>
        <v>5.5643641781106923E-2</v>
      </c>
      <c r="J53" s="6">
        <f t="shared" si="40"/>
        <v>5.5493109142116526E-2</v>
      </c>
      <c r="K53" s="6">
        <f t="shared" si="40"/>
        <v>5.3519209958847722E-2</v>
      </c>
      <c r="L53" s="6">
        <f t="shared" si="40"/>
        <v>5.2259455986292558E-2</v>
      </c>
    </row>
    <row r="54" spans="1:17" s="6" customFormat="1" x14ac:dyDescent="0.2">
      <c r="A54" s="8" t="s">
        <v>2</v>
      </c>
      <c r="B54" s="9"/>
      <c r="C54" s="9"/>
      <c r="D54" s="9"/>
      <c r="E54" s="9"/>
      <c r="F54" s="9"/>
      <c r="G54" s="9"/>
      <c r="H54" s="9"/>
      <c r="I54" s="9"/>
      <c r="J54" s="9"/>
      <c r="K54" s="9"/>
      <c r="L54" s="9"/>
      <c r="M54" s="9"/>
      <c r="N54" s="9"/>
      <c r="O54" s="9"/>
      <c r="P54" s="9"/>
      <c r="Q54" s="8"/>
    </row>
    <row r="55" spans="1:17" s="6" customFormat="1" x14ac:dyDescent="0.2">
      <c r="A55" s="6" t="s">
        <v>1</v>
      </c>
      <c r="B55" s="7">
        <f t="shared" ref="B55:C55" si="41">IF(B42=0,IF(B54="","","*"&amp;TEXT(B54,"0.0x")),(B41+B42-B44)/B47)</f>
        <v>10.433365292425696</v>
      </c>
      <c r="C55" s="7">
        <f t="shared" si="41"/>
        <v>10.26738255033557</v>
      </c>
      <c r="D55" s="7">
        <f t="shared" ref="D55:E55" si="42">IF(D42=0,IF(D54="","","*"&amp;TEXT(D54,"0.0x")),(D41+D42-D44)/D47)</f>
        <v>10.088207094918507</v>
      </c>
      <c r="E55" s="7">
        <f t="shared" si="42"/>
        <v>9.9520613614573357</v>
      </c>
      <c r="F55" s="7">
        <f t="shared" ref="F55:G55" si="43">IF(F42=0,IF(F54="","","*"&amp;TEXT(F54,"0.0x")),(F41+F42-F44)/F47)</f>
        <v>9.793362734499814</v>
      </c>
      <c r="G55" s="7">
        <f t="shared" si="43"/>
        <v>9.6238273921200737</v>
      </c>
      <c r="H55" s="7">
        <f t="shared" ref="H55:I55" si="44">IF(H42=0,IF(H54="","","*"&amp;TEXT(H54,"0.0x")),(H41+H42-H44)/H47)</f>
        <v>10.02153339604892</v>
      </c>
      <c r="I55" s="7">
        <f t="shared" si="44"/>
        <v>9.2655109489051082</v>
      </c>
      <c r="J55" s="7">
        <f t="shared" ref="J55" si="45">IF(J42=0,IF(J54="","","*"&amp;TEXT(J54,"0.0x")),(J41+J42-J44)/J47)</f>
        <v>9.6484018264840206</v>
      </c>
      <c r="K55" s="7">
        <f t="shared" ref="K55:P55" si="46">IF(K42=0,IF(K54="","","*"&amp;TEXT(K54,"0.0x")),(K41+K42-K44)/K47)</f>
        <v>10.00562851782364</v>
      </c>
      <c r="L55" s="7">
        <f t="shared" si="46"/>
        <v>11.9375</v>
      </c>
      <c r="M55" s="7" t="str">
        <f t="shared" si="46"/>
        <v/>
      </c>
      <c r="N55" s="7" t="str">
        <f t="shared" si="46"/>
        <v/>
      </c>
      <c r="O55" s="7" t="str">
        <f t="shared" si="46"/>
        <v/>
      </c>
      <c r="P55" s="7" t="str">
        <f t="shared" si="46"/>
        <v/>
      </c>
      <c r="Q55" s="7" t="str">
        <f>IF(Q42=0,IF(Q54="","",CONCATENATE("* ",Q54,"x")),(Q41+Q42-Q44)/Q47)</f>
        <v/>
      </c>
    </row>
    <row r="56" spans="1:17" x14ac:dyDescent="0.2">
      <c r="P56" s="3"/>
    </row>
    <row r="57" spans="1:17" ht="80.25" customHeight="1" x14ac:dyDescent="0.2">
      <c r="A57" s="5" t="s">
        <v>0</v>
      </c>
      <c r="B57" s="4" t="s">
        <v>387</v>
      </c>
      <c r="C57" s="4" t="s">
        <v>387</v>
      </c>
      <c r="D57" s="4" t="s">
        <v>387</v>
      </c>
      <c r="E57" s="4" t="s">
        <v>387</v>
      </c>
      <c r="F57" s="4" t="s">
        <v>387</v>
      </c>
      <c r="G57" s="4" t="s">
        <v>387</v>
      </c>
      <c r="H57" s="4" t="s">
        <v>387</v>
      </c>
      <c r="I57" s="4" t="s">
        <v>387</v>
      </c>
      <c r="J57" s="4" t="s">
        <v>387</v>
      </c>
      <c r="K57" s="4" t="s">
        <v>260</v>
      </c>
      <c r="L57" s="4" t="s">
        <v>133</v>
      </c>
      <c r="M57" s="4"/>
      <c r="N57" s="4"/>
      <c r="O57" s="4"/>
      <c r="P57" s="4"/>
      <c r="Q57" s="4"/>
    </row>
    <row r="58" spans="1:17" x14ac:dyDescent="0.2">
      <c r="A58" s="2"/>
      <c r="B58" s="3"/>
      <c r="C58" s="3"/>
      <c r="D58" s="3"/>
      <c r="E58" s="3"/>
      <c r="F58" s="3"/>
      <c r="G58" s="3"/>
      <c r="H58" s="3"/>
      <c r="I58" s="3"/>
      <c r="J58" s="3"/>
      <c r="K58" s="3"/>
      <c r="L58" s="3"/>
    </row>
    <row r="59" spans="1:17" x14ac:dyDescent="0.2">
      <c r="A59" s="2"/>
    </row>
  </sheetData>
  <pageMargins left="0.7" right="0.7" top="0.75" bottom="0.75" header="0.3" footer="0.3"/>
  <pageSetup orientation="portrait" r:id="rId1"/>
  <ignoredErrors>
    <ignoredError sqref="I28:K28 K24:K27 I24:J27 E24:H27 C24:D25" formulaRange="1"/>
  </ignoredErrors>
  <legacy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2:L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2" width="10.7109375" style="1" customWidth="1"/>
    <col min="13" max="16384" width="9.140625" style="1"/>
  </cols>
  <sheetData>
    <row r="2" spans="1:12" x14ac:dyDescent="0.2">
      <c r="A2" s="34" t="s">
        <v>45</v>
      </c>
      <c r="B2" s="1" t="s">
        <v>462</v>
      </c>
    </row>
    <row r="3" spans="1:12" s="35" customFormat="1" x14ac:dyDescent="0.2">
      <c r="A3" s="36" t="s">
        <v>43</v>
      </c>
      <c r="B3" s="35" t="s">
        <v>464</v>
      </c>
    </row>
    <row r="4" spans="1:12" x14ac:dyDescent="0.2">
      <c r="A4" s="34" t="s">
        <v>41</v>
      </c>
      <c r="B4" s="1" t="s">
        <v>502</v>
      </c>
    </row>
    <row r="5" spans="1:12" x14ac:dyDescent="0.2">
      <c r="A5" s="34" t="s">
        <v>39</v>
      </c>
    </row>
    <row r="6" spans="1:12" x14ac:dyDescent="0.2">
      <c r="A6" s="34" t="s">
        <v>38</v>
      </c>
      <c r="B6" s="1">
        <v>2</v>
      </c>
    </row>
    <row r="7" spans="1:12" x14ac:dyDescent="0.2">
      <c r="A7" s="34" t="s">
        <v>37</v>
      </c>
      <c r="B7" s="1" t="s">
        <v>432</v>
      </c>
    </row>
    <row r="8" spans="1:12" x14ac:dyDescent="0.2">
      <c r="A8" s="34" t="s">
        <v>281</v>
      </c>
      <c r="B8" s="1" t="s">
        <v>463</v>
      </c>
    </row>
    <row r="9" spans="1:12" x14ac:dyDescent="0.2">
      <c r="A9" s="22"/>
    </row>
    <row r="10" spans="1:12" x14ac:dyDescent="0.2">
      <c r="A10" s="22" t="s">
        <v>36</v>
      </c>
      <c r="B10" s="33">
        <v>44377</v>
      </c>
      <c r="C10" s="33">
        <v>44286</v>
      </c>
      <c r="D10" s="33">
        <v>44196</v>
      </c>
      <c r="E10" s="33">
        <v>44104</v>
      </c>
      <c r="F10" s="33">
        <v>44012</v>
      </c>
      <c r="G10" s="33">
        <v>43921</v>
      </c>
      <c r="H10" s="33">
        <v>43830</v>
      </c>
      <c r="I10" s="33">
        <v>43738</v>
      </c>
      <c r="J10" s="33">
        <f>EOMONTH(I10,-3)</f>
        <v>43646</v>
      </c>
      <c r="K10" s="33">
        <f t="shared" ref="K10:L10" si="0">EOMONTH(J10,-3)</f>
        <v>43555</v>
      </c>
      <c r="L10" s="33">
        <f t="shared" si="0"/>
        <v>43465</v>
      </c>
    </row>
    <row r="12" spans="1:12" x14ac:dyDescent="0.2">
      <c r="A12" s="15" t="s">
        <v>35</v>
      </c>
      <c r="B12" s="19">
        <v>2981.22</v>
      </c>
      <c r="C12" s="19">
        <v>2819.692</v>
      </c>
      <c r="D12" s="19">
        <v>2743.7890000000002</v>
      </c>
      <c r="E12" s="19">
        <f>12829.559-F12-G12-H12</f>
        <v>2692.1499999999987</v>
      </c>
      <c r="F12" s="19">
        <v>2152.2530000000002</v>
      </c>
      <c r="G12" s="19">
        <v>3731.5590000000002</v>
      </c>
      <c r="H12" s="19">
        <v>4253.5969999999998</v>
      </c>
      <c r="I12" s="19">
        <f>16227.341-J12-K12-L12</f>
        <v>3951.2440000000006</v>
      </c>
      <c r="J12" s="19">
        <v>4010.761</v>
      </c>
      <c r="K12" s="19">
        <v>3999.9870000000001</v>
      </c>
      <c r="L12" s="19">
        <v>4265.3490000000002</v>
      </c>
    </row>
    <row r="13" spans="1:12" s="28" customFormat="1" x14ac:dyDescent="0.2">
      <c r="A13" s="28" t="s">
        <v>34</v>
      </c>
      <c r="B13" s="28">
        <f t="shared" ref="B13:H13" si="1">+B12/F12-1</f>
        <v>0.38516243211183787</v>
      </c>
      <c r="C13" s="28">
        <f t="shared" si="1"/>
        <v>-0.24436622869958646</v>
      </c>
      <c r="D13" s="28">
        <f t="shared" si="1"/>
        <v>-0.35494852944460875</v>
      </c>
      <c r="E13" s="28">
        <f t="shared" si="1"/>
        <v>-0.31865761770217216</v>
      </c>
      <c r="F13" s="28">
        <f t="shared" si="1"/>
        <v>-0.46338039090337213</v>
      </c>
      <c r="G13" s="28">
        <f t="shared" si="1"/>
        <v>-6.7107218098458765E-2</v>
      </c>
      <c r="H13" s="28">
        <f t="shared" si="1"/>
        <v>-2.7552258912459937E-3</v>
      </c>
    </row>
    <row r="14" spans="1:12" s="23" customFormat="1" x14ac:dyDescent="0.2">
      <c r="A14" s="31" t="s">
        <v>33</v>
      </c>
      <c r="B14" s="32" t="s">
        <v>32</v>
      </c>
      <c r="C14" s="32" t="s">
        <v>32</v>
      </c>
      <c r="D14" s="32" t="s">
        <v>32</v>
      </c>
      <c r="E14" s="32" t="s">
        <v>32</v>
      </c>
      <c r="F14" s="32" t="s">
        <v>32</v>
      </c>
      <c r="G14" s="32" t="s">
        <v>32</v>
      </c>
      <c r="H14" s="32" t="s">
        <v>32</v>
      </c>
      <c r="I14" s="32"/>
      <c r="J14" s="32"/>
      <c r="K14" s="32"/>
      <c r="L14" s="32"/>
    </row>
    <row r="16" spans="1:12" s="22" customFormat="1" x14ac:dyDescent="0.2">
      <c r="A16" s="30" t="s">
        <v>31</v>
      </c>
      <c r="B16" s="29">
        <f>875.124-C16-D16-E16</f>
        <v>289.46099999999979</v>
      </c>
      <c r="C16" s="29">
        <f>712.148-D16-E16-F16</f>
        <v>217.10899999999992</v>
      </c>
      <c r="D16" s="29">
        <f>831.344-E16-F16-G16</f>
        <v>189.6600000000002</v>
      </c>
      <c r="E16" s="29">
        <f>1066.064-F16-G16-H16</f>
        <v>178.89400000000012</v>
      </c>
      <c r="F16" s="29">
        <f>F24-G16-H16-I16</f>
        <v>126.48499999999979</v>
      </c>
      <c r="G16" s="29">
        <f>G24-H16-I16-J16</f>
        <v>336.30499999999995</v>
      </c>
      <c r="H16" s="29">
        <v>424.38000000000022</v>
      </c>
      <c r="I16" s="29">
        <f>1665.87-J16-K16-L16</f>
        <v>428.16999999999996</v>
      </c>
      <c r="J16" s="29">
        <v>403.5</v>
      </c>
      <c r="K16" s="29">
        <v>392.3</v>
      </c>
      <c r="L16" s="29">
        <v>441.9</v>
      </c>
    </row>
    <row r="17" spans="1:12" s="28" customFormat="1" x14ac:dyDescent="0.2">
      <c r="A17" s="28" t="s">
        <v>30</v>
      </c>
      <c r="B17" s="28">
        <f t="shared" ref="B17:C17" si="2">+B16/B12</f>
        <v>9.7094813532714735E-2</v>
      </c>
      <c r="C17" s="28">
        <f t="shared" si="2"/>
        <v>7.6997416739133184E-2</v>
      </c>
      <c r="D17" s="28">
        <f t="shared" ref="D17:E17" si="3">+D16/D12</f>
        <v>6.9123391047926849E-2</v>
      </c>
      <c r="E17" s="28">
        <f t="shared" si="3"/>
        <v>6.6450234942332417E-2</v>
      </c>
      <c r="F17" s="28">
        <f t="shared" ref="F17" si="4">+F16/F12</f>
        <v>5.8768648481381962E-2</v>
      </c>
      <c r="G17" s="28">
        <f t="shared" ref="G17:L17" si="5">+G16/G12</f>
        <v>9.0124529720687768E-2</v>
      </c>
      <c r="H17" s="28">
        <f t="shared" si="5"/>
        <v>9.9769677287246589E-2</v>
      </c>
      <c r="I17" s="28">
        <f t="shared" si="5"/>
        <v>0.10836334076053007</v>
      </c>
      <c r="J17" s="28">
        <f t="shared" si="5"/>
        <v>0.10060434914970003</v>
      </c>
      <c r="K17" s="28">
        <f t="shared" si="5"/>
        <v>9.8075318744785922E-2</v>
      </c>
      <c r="L17" s="28">
        <f t="shared" si="5"/>
        <v>0.10360230780646554</v>
      </c>
    </row>
    <row r="18" spans="1:12" s="23" customFormat="1" x14ac:dyDescent="0.2"/>
    <row r="19" spans="1:12" s="23" customFormat="1" x14ac:dyDescent="0.2">
      <c r="A19" s="15" t="s">
        <v>29</v>
      </c>
      <c r="B19" s="19">
        <v>0</v>
      </c>
      <c r="C19" s="19">
        <v>0</v>
      </c>
      <c r="D19" s="19">
        <v>0</v>
      </c>
      <c r="E19" s="19">
        <v>0</v>
      </c>
      <c r="F19" s="19">
        <v>0</v>
      </c>
      <c r="G19" s="19">
        <v>0</v>
      </c>
      <c r="H19" s="19">
        <v>0</v>
      </c>
      <c r="I19" s="19">
        <v>0</v>
      </c>
      <c r="J19" s="19">
        <v>0</v>
      </c>
      <c r="K19" s="19">
        <v>0</v>
      </c>
      <c r="L19" s="19">
        <v>0</v>
      </c>
    </row>
    <row r="20" spans="1:12" s="23" customFormat="1" x14ac:dyDescent="0.2">
      <c r="A20" s="15" t="s">
        <v>28</v>
      </c>
      <c r="B20" s="19">
        <v>0</v>
      </c>
      <c r="C20" s="19">
        <v>0</v>
      </c>
      <c r="D20" s="19">
        <v>0</v>
      </c>
      <c r="E20" s="19">
        <v>0</v>
      </c>
      <c r="F20" s="19">
        <v>0</v>
      </c>
      <c r="G20" s="19">
        <v>0</v>
      </c>
      <c r="H20" s="19">
        <v>0</v>
      </c>
      <c r="I20" s="19">
        <v>0</v>
      </c>
      <c r="J20" s="19">
        <v>0</v>
      </c>
      <c r="K20" s="19">
        <v>0</v>
      </c>
      <c r="L20" s="19">
        <v>0</v>
      </c>
    </row>
    <row r="21" spans="1:12" s="23" customFormat="1" x14ac:dyDescent="0.2">
      <c r="A21" s="15" t="s">
        <v>18</v>
      </c>
      <c r="B21" s="19">
        <v>0</v>
      </c>
      <c r="C21" s="19">
        <v>0</v>
      </c>
      <c r="D21" s="19">
        <v>0</v>
      </c>
      <c r="E21" s="19">
        <v>0</v>
      </c>
      <c r="F21" s="19">
        <v>0</v>
      </c>
      <c r="G21" s="19">
        <v>0</v>
      </c>
      <c r="H21" s="19">
        <v>0</v>
      </c>
      <c r="I21" s="19">
        <v>0</v>
      </c>
      <c r="J21" s="19">
        <v>0</v>
      </c>
      <c r="K21" s="19">
        <v>0</v>
      </c>
      <c r="L21" s="19">
        <v>0</v>
      </c>
    </row>
    <row r="22" spans="1:12" s="22" customFormat="1" x14ac:dyDescent="0.2">
      <c r="A22" s="22" t="s">
        <v>23</v>
      </c>
      <c r="B22" s="20">
        <f t="shared" ref="B22:C22" si="6">B16+B19+B20+B21</f>
        <v>289.46099999999979</v>
      </c>
      <c r="C22" s="20">
        <f t="shared" si="6"/>
        <v>217.10899999999992</v>
      </c>
      <c r="D22" s="20">
        <f t="shared" ref="D22:E22" si="7">D16+D19+D20+D21</f>
        <v>189.6600000000002</v>
      </c>
      <c r="E22" s="20">
        <f t="shared" si="7"/>
        <v>178.89400000000012</v>
      </c>
      <c r="F22" s="20">
        <f t="shared" ref="F22" si="8">F16+F19+F20+F21</f>
        <v>126.48499999999979</v>
      </c>
      <c r="G22" s="20">
        <f t="shared" ref="G22:L22" si="9">G16+G19+G20+G21</f>
        <v>336.30499999999995</v>
      </c>
      <c r="H22" s="20">
        <f t="shared" si="9"/>
        <v>424.38000000000022</v>
      </c>
      <c r="I22" s="20">
        <f t="shared" si="9"/>
        <v>428.16999999999996</v>
      </c>
      <c r="J22" s="20">
        <f t="shared" si="9"/>
        <v>403.5</v>
      </c>
      <c r="K22" s="20">
        <f t="shared" si="9"/>
        <v>392.3</v>
      </c>
      <c r="L22" s="20">
        <f t="shared" si="9"/>
        <v>441.9</v>
      </c>
    </row>
    <row r="23" spans="1:12" s="22" customFormat="1" x14ac:dyDescent="0.2">
      <c r="B23" s="28"/>
      <c r="C23" s="28"/>
      <c r="D23" s="28"/>
      <c r="E23" s="28"/>
      <c r="F23" s="28"/>
      <c r="G23" s="20"/>
      <c r="H23" s="20"/>
      <c r="I23" s="20"/>
      <c r="J23" s="20"/>
      <c r="K23" s="20"/>
      <c r="L23" s="20"/>
    </row>
    <row r="24" spans="1:12" s="22" customFormat="1" x14ac:dyDescent="0.2">
      <c r="A24" s="22" t="s">
        <v>27</v>
      </c>
      <c r="B24" s="20">
        <f>SUM(B22:E22)</f>
        <v>875.12400000000002</v>
      </c>
      <c r="C24" s="20">
        <f>SUM(C22:F22)</f>
        <v>712.14800000000002</v>
      </c>
      <c r="D24" s="20">
        <f>SUM(D22:G22)</f>
        <v>831.34400000000005</v>
      </c>
      <c r="E24" s="20">
        <f>SUM(E22:H22)</f>
        <v>1066.0640000000001</v>
      </c>
      <c r="F24" s="61">
        <v>1315.34</v>
      </c>
      <c r="G24" s="61">
        <f>1592.355</f>
        <v>1592.355</v>
      </c>
      <c r="H24" s="20">
        <f>SUM(H22:K22)</f>
        <v>1648.3500000000001</v>
      </c>
      <c r="I24" s="20">
        <f>SUM(I22:L22)</f>
        <v>1665.87</v>
      </c>
      <c r="J24" s="20"/>
      <c r="K24" s="20"/>
      <c r="L24" s="20"/>
    </row>
    <row r="25" spans="1:12" s="23" customFormat="1" x14ac:dyDescent="0.2">
      <c r="A25" s="15" t="s">
        <v>26</v>
      </c>
      <c r="B25" s="27">
        <v>0</v>
      </c>
      <c r="C25" s="27">
        <v>0</v>
      </c>
      <c r="D25" s="27">
        <v>0</v>
      </c>
      <c r="E25" s="27">
        <v>0</v>
      </c>
      <c r="F25" s="27">
        <v>0</v>
      </c>
      <c r="G25" s="27">
        <v>0</v>
      </c>
      <c r="H25" s="27">
        <v>0</v>
      </c>
      <c r="I25" s="27">
        <v>0</v>
      </c>
      <c r="J25" s="27"/>
      <c r="K25" s="27"/>
      <c r="L25" s="27"/>
    </row>
    <row r="26" spans="1:12" s="23" customFormat="1" x14ac:dyDescent="0.2">
      <c r="A26" s="15" t="s">
        <v>25</v>
      </c>
      <c r="B26" s="21">
        <v>0</v>
      </c>
      <c r="C26" s="21">
        <v>0</v>
      </c>
      <c r="D26" s="21">
        <v>0</v>
      </c>
      <c r="E26" s="21">
        <v>0</v>
      </c>
      <c r="F26" s="21">
        <v>0</v>
      </c>
      <c r="G26" s="21">
        <v>0</v>
      </c>
      <c r="H26" s="21">
        <v>0</v>
      </c>
      <c r="I26" s="21">
        <v>0</v>
      </c>
      <c r="J26" s="21"/>
      <c r="K26" s="21"/>
      <c r="L26" s="21"/>
    </row>
    <row r="27" spans="1:12" s="24" customFormat="1" x14ac:dyDescent="0.2">
      <c r="A27" s="22" t="s">
        <v>24</v>
      </c>
      <c r="B27" s="20">
        <f t="shared" ref="B27:C27" si="10">SUM(B24:B26)</f>
        <v>875.12400000000002</v>
      </c>
      <c r="C27" s="20">
        <f t="shared" si="10"/>
        <v>712.14800000000002</v>
      </c>
      <c r="D27" s="20">
        <f t="shared" ref="D27:I27" si="11">SUM(D24:D26)</f>
        <v>831.34400000000005</v>
      </c>
      <c r="E27" s="20">
        <f t="shared" si="11"/>
        <v>1066.0640000000001</v>
      </c>
      <c r="F27" s="20">
        <f t="shared" si="11"/>
        <v>1315.34</v>
      </c>
      <c r="G27" s="20">
        <f t="shared" si="11"/>
        <v>1592.355</v>
      </c>
      <c r="H27" s="20">
        <f t="shared" si="11"/>
        <v>1648.3500000000001</v>
      </c>
      <c r="I27" s="20">
        <f t="shared" si="11"/>
        <v>1665.87</v>
      </c>
      <c r="J27" s="20"/>
      <c r="K27" s="20"/>
      <c r="L27" s="20"/>
    </row>
    <row r="28" spans="1:12" s="23" customFormat="1" x14ac:dyDescent="0.2"/>
    <row r="29" spans="1:12" s="22" customFormat="1" x14ac:dyDescent="0.2">
      <c r="A29" s="22" t="s">
        <v>23</v>
      </c>
      <c r="B29" s="20">
        <f t="shared" ref="B29:C29" si="12">B22</f>
        <v>289.46099999999979</v>
      </c>
      <c r="C29" s="20">
        <f t="shared" si="12"/>
        <v>217.10899999999992</v>
      </c>
      <c r="D29" s="20">
        <f t="shared" ref="D29:E29" si="13">D22</f>
        <v>189.6600000000002</v>
      </c>
      <c r="E29" s="20">
        <f t="shared" si="13"/>
        <v>178.89400000000012</v>
      </c>
      <c r="F29" s="20">
        <f t="shared" ref="F29:G29" si="14">F22</f>
        <v>126.48499999999979</v>
      </c>
      <c r="G29" s="20">
        <f t="shared" si="14"/>
        <v>336.30499999999995</v>
      </c>
      <c r="H29" s="20">
        <f t="shared" ref="H29:L29" si="15">H22</f>
        <v>424.38000000000022</v>
      </c>
      <c r="I29" s="20">
        <f t="shared" si="15"/>
        <v>428.16999999999996</v>
      </c>
      <c r="J29" s="20">
        <f t="shared" si="15"/>
        <v>403.5</v>
      </c>
      <c r="K29" s="20">
        <f t="shared" si="15"/>
        <v>392.3</v>
      </c>
      <c r="L29" s="20">
        <f t="shared" si="15"/>
        <v>441.9</v>
      </c>
    </row>
    <row r="30" spans="1:12" s="11" customFormat="1" x14ac:dyDescent="0.2">
      <c r="A30" s="19" t="s">
        <v>22</v>
      </c>
      <c r="B30" s="19">
        <f>-288.9-C30-D30</f>
        <v>-102.59999999999997</v>
      </c>
      <c r="C30" s="19">
        <f>-186.3-D30</f>
        <v>-80.200000000000017</v>
      </c>
      <c r="D30" s="19">
        <v>-106.1</v>
      </c>
      <c r="E30" s="19">
        <f>-353.6-F30-G30-H30</f>
        <v>-98.800000000000026</v>
      </c>
      <c r="F30" s="19">
        <f>-254.8-G30-H30</f>
        <v>-75.500000000000014</v>
      </c>
      <c r="G30" s="19">
        <f>-179.3-H30</f>
        <v>-92.000000000000014</v>
      </c>
      <c r="H30" s="19">
        <v>-87.3</v>
      </c>
      <c r="I30" s="19">
        <f>-306.2-J30-K30-L30</f>
        <v>-57.899999999999991</v>
      </c>
      <c r="J30" s="19">
        <f>-248.3-K30-L30</f>
        <v>-68.100000000000037</v>
      </c>
      <c r="K30" s="19">
        <f>-180.2-L30</f>
        <v>-97.221999999999994</v>
      </c>
      <c r="L30" s="19">
        <v>-82.977999999999994</v>
      </c>
    </row>
    <row r="31" spans="1:12" s="11" customFormat="1" x14ac:dyDescent="0.2">
      <c r="A31" s="19" t="s">
        <v>21</v>
      </c>
      <c r="B31" s="19">
        <f>109.4-C31-D31</f>
        <v>-0.50000000000000355</v>
      </c>
      <c r="C31" s="19">
        <f>109.9-D31</f>
        <v>80.600000000000009</v>
      </c>
      <c r="D31" s="19">
        <v>29.3</v>
      </c>
      <c r="E31" s="19">
        <f>-40.2-F31-G31-H31</f>
        <v>-9.8999999999999986</v>
      </c>
      <c r="F31" s="19">
        <f>-30.3-G31-H31</f>
        <v>5.8000000000000007</v>
      </c>
      <c r="G31" s="19">
        <f>-36.1-H31</f>
        <v>-20.400000000000002</v>
      </c>
      <c r="H31" s="19">
        <v>-15.7</v>
      </c>
      <c r="I31" s="19">
        <f>-139.3-J31-K31-L31</f>
        <v>-1.9000000000000057</v>
      </c>
      <c r="J31" s="19">
        <f>-137.4-K31-L31</f>
        <v>-18.5</v>
      </c>
      <c r="K31" s="19">
        <f>-118.9-L31</f>
        <v>-79.192000000000007</v>
      </c>
      <c r="L31" s="19">
        <v>-39.707999999999998</v>
      </c>
    </row>
    <row r="32" spans="1:12" s="11" customFormat="1" x14ac:dyDescent="0.2">
      <c r="A32" s="19" t="s">
        <v>20</v>
      </c>
      <c r="B32" s="19">
        <f>-42.099+39.288+106.289-0.821-77.01-49.159+23.227-C32-D32</f>
        <v>-101.554</v>
      </c>
      <c r="C32" s="19">
        <f>-6.728+17.414+86.275+7.819+7.712-28.854+17.631-D32</f>
        <v>294.17200000000003</v>
      </c>
      <c r="D32" s="19">
        <f>-46.714+14.597-4.894-37.841-96.624-25.434+4.007</f>
        <v>-192.90299999999999</v>
      </c>
      <c r="E32" s="19">
        <f>362.708-25.675-86.444-342.069-143.64-69.575+8.151-F32-G32-H32</f>
        <v>104.12400000000002</v>
      </c>
      <c r="F32" s="19">
        <f>356.436-18.62-88.386-386.646-305.98-42.824+85.352-G32-H32</f>
        <v>150.98500000000001</v>
      </c>
      <c r="G32" s="19">
        <f>-73.667+5.166-6.951-218.211-304.053-26.355+72.418-H32</f>
        <v>95.197999999999979</v>
      </c>
      <c r="H32" s="19">
        <f>-155.284+14.199-2.224-141.235-359.801-10.006+7.5</f>
        <v>-646.851</v>
      </c>
      <c r="I32" s="19">
        <f>-78.771-49.732-37.854+17.68+193.532-40.073+4.32-J32-K32-L32</f>
        <v>542.48500000000001</v>
      </c>
      <c r="J32" s="19">
        <f>-88.173-37.133-33.586-178.468-164.584-30.169-1.27-K32-L32</f>
        <v>-146.19799999999998</v>
      </c>
      <c r="K32" s="19">
        <f>-137.789-36.224-0.223-86.069-100.863-26.551+0.534-L32</f>
        <v>48.867999999999995</v>
      </c>
      <c r="L32" s="19">
        <v>-436.053</v>
      </c>
    </row>
    <row r="33" spans="1:12" s="11" customFormat="1" x14ac:dyDescent="0.2">
      <c r="A33" s="19" t="s">
        <v>19</v>
      </c>
      <c r="B33" s="19">
        <v>0</v>
      </c>
      <c r="C33" s="19">
        <v>0</v>
      </c>
      <c r="D33" s="19">
        <v>0</v>
      </c>
      <c r="E33" s="19">
        <v>0</v>
      </c>
      <c r="F33" s="19">
        <v>0</v>
      </c>
      <c r="G33" s="19">
        <v>0</v>
      </c>
      <c r="H33" s="19">
        <v>0</v>
      </c>
      <c r="I33" s="19">
        <v>0</v>
      </c>
      <c r="J33" s="19">
        <v>0</v>
      </c>
      <c r="K33" s="19">
        <v>0</v>
      </c>
      <c r="L33" s="19">
        <v>0</v>
      </c>
    </row>
    <row r="34" spans="1:12" s="11" customFormat="1" x14ac:dyDescent="0.2">
      <c r="A34" s="19" t="s">
        <v>18</v>
      </c>
      <c r="B34" s="21">
        <v>0</v>
      </c>
      <c r="C34" s="21">
        <v>0</v>
      </c>
      <c r="D34" s="21">
        <v>0</v>
      </c>
      <c r="E34" s="21">
        <v>0</v>
      </c>
      <c r="F34" s="21">
        <v>0</v>
      </c>
      <c r="G34" s="21">
        <v>0</v>
      </c>
      <c r="H34" s="21">
        <v>0</v>
      </c>
      <c r="I34" s="21">
        <v>0</v>
      </c>
      <c r="J34" s="21">
        <v>0</v>
      </c>
      <c r="K34" s="21">
        <v>0</v>
      </c>
      <c r="L34" s="21">
        <v>0</v>
      </c>
    </row>
    <row r="35" spans="1:12" s="20" customFormat="1" x14ac:dyDescent="0.2">
      <c r="A35" s="20" t="s">
        <v>17</v>
      </c>
      <c r="B35" s="20">
        <f>233.793-C35-D35</f>
        <v>11.932000000000002</v>
      </c>
      <c r="C35" s="20">
        <f>221.861-D35</f>
        <v>337.03100000000001</v>
      </c>
      <c r="D35" s="20">
        <v>-115.17</v>
      </c>
      <c r="E35" s="20">
        <f>176.682-F35-G35-H35</f>
        <v>251.52699999999999</v>
      </c>
      <c r="F35" s="20">
        <f>-74.845-G35-H35</f>
        <v>16.781000000000006</v>
      </c>
      <c r="G35" s="20">
        <f>-91.626-H35</f>
        <v>217.85799999999998</v>
      </c>
      <c r="H35" s="20">
        <v>-309.48399999999998</v>
      </c>
      <c r="I35" s="20">
        <f>984.227-J35-K35-L35</f>
        <v>776.04</v>
      </c>
      <c r="J35" s="20">
        <f>208.187-K35-L35</f>
        <v>119.20400000000004</v>
      </c>
      <c r="K35" s="20">
        <f>88.983-L35</f>
        <v>292.64499999999998</v>
      </c>
      <c r="L35" s="20">
        <v>-203.66200000000001</v>
      </c>
    </row>
    <row r="36" spans="1:12" s="11" customFormat="1" x14ac:dyDescent="0.2">
      <c r="A36" s="19" t="s">
        <v>16</v>
      </c>
      <c r="B36" s="21">
        <f>-254.34+10.26-C36-D36</f>
        <v>-101.32900000000002</v>
      </c>
      <c r="C36" s="21">
        <f>-148.318+5.567-D36</f>
        <v>-73.557000000000002</v>
      </c>
      <c r="D36" s="21">
        <v>-69.194000000000003</v>
      </c>
      <c r="E36" s="21">
        <f>-418.508+54.074-F36-G36-H36</f>
        <v>-105.059</v>
      </c>
      <c r="F36" s="21">
        <f>-298.716+39.341-G36-H36</f>
        <v>-54.044000000000011</v>
      </c>
      <c r="G36" s="21">
        <f>-205.331-H36</f>
        <v>-106.13499999999999</v>
      </c>
      <c r="H36" s="21">
        <v>-99.195999999999998</v>
      </c>
      <c r="I36" s="21">
        <f>-503.09+17.871-J36-K36-L36</f>
        <v>-155.79</v>
      </c>
      <c r="J36" s="21">
        <f>-340.449+11.02-K36-L36</f>
        <v>-106.58300000000003</v>
      </c>
      <c r="K36" s="21">
        <f>-222.846-L36</f>
        <v>-109.4</v>
      </c>
      <c r="L36" s="21">
        <v>-113.446</v>
      </c>
    </row>
    <row r="37" spans="1:12" s="20" customFormat="1" x14ac:dyDescent="0.2">
      <c r="A37" s="20" t="s">
        <v>15</v>
      </c>
      <c r="B37" s="20">
        <f t="shared" ref="B37:L37" si="16">+B35+B36</f>
        <v>-89.39700000000002</v>
      </c>
      <c r="C37" s="20">
        <f t="shared" si="16"/>
        <v>263.47399999999999</v>
      </c>
      <c r="D37" s="20">
        <f t="shared" si="16"/>
        <v>-184.364</v>
      </c>
      <c r="E37" s="20">
        <f t="shared" si="16"/>
        <v>146.46799999999999</v>
      </c>
      <c r="F37" s="20">
        <f t="shared" si="16"/>
        <v>-37.263000000000005</v>
      </c>
      <c r="G37" s="20">
        <f t="shared" si="16"/>
        <v>111.72299999999998</v>
      </c>
      <c r="H37" s="20">
        <f t="shared" si="16"/>
        <v>-408.67999999999995</v>
      </c>
      <c r="I37" s="20">
        <f t="shared" si="16"/>
        <v>620.25</v>
      </c>
      <c r="J37" s="20">
        <f t="shared" si="16"/>
        <v>12.621000000000009</v>
      </c>
      <c r="K37" s="20">
        <f t="shared" si="16"/>
        <v>183.24499999999998</v>
      </c>
      <c r="L37" s="20">
        <f t="shared" si="16"/>
        <v>-317.108</v>
      </c>
    </row>
    <row r="39" spans="1:12" s="16" customFormat="1" x14ac:dyDescent="0.2">
      <c r="A39" s="18" t="s">
        <v>14</v>
      </c>
      <c r="B39" s="19">
        <v>103.592</v>
      </c>
      <c r="C39" s="19">
        <v>110.827</v>
      </c>
      <c r="D39" s="19">
        <v>79.025000000000006</v>
      </c>
      <c r="E39" s="19">
        <f>849.895+315.6</f>
        <v>1165.4949999999999</v>
      </c>
      <c r="F39" s="19">
        <f>845.189+335.6</f>
        <v>1180.789</v>
      </c>
      <c r="G39" s="19">
        <f>400+948.847</f>
        <v>1348.847</v>
      </c>
      <c r="H39" s="19">
        <v>89</v>
      </c>
      <c r="I39" s="19">
        <v>89</v>
      </c>
      <c r="J39" s="19"/>
      <c r="K39" s="19"/>
      <c r="L39" s="19"/>
    </row>
    <row r="40" spans="1:12" s="16" customFormat="1" x14ac:dyDescent="0.2">
      <c r="A40" s="18" t="s">
        <v>13</v>
      </c>
      <c r="B40" s="19">
        <f>444.591+820.986+1660.081+882.562+143.23+11.166</f>
        <v>3962.616</v>
      </c>
      <c r="C40" s="19">
        <f>457.463+830.53+1659.783+884.553+137.285+15.755</f>
        <v>3985.3689999999997</v>
      </c>
      <c r="D40" s="19">
        <f>477.848+830.331+1659.487+886.546+140.203+33.034</f>
        <v>4027.4490000000005</v>
      </c>
      <c r="E40" s="19">
        <f>485.346+830.133+1659.194+888.54+142.588+22.155</f>
        <v>4027.9560000000001</v>
      </c>
      <c r="F40" s="19">
        <f>483.739+829.922+1658.882+892.766+137.386+9.213</f>
        <v>4011.9080000000004</v>
      </c>
      <c r="G40" s="19">
        <f>140.067+27.998+483.112+829.728+1658.594+892.513</f>
        <v>4032.0119999999997</v>
      </c>
      <c r="H40" s="19">
        <f>5051.343-H39</f>
        <v>4962.3429999999998</v>
      </c>
      <c r="I40" s="19">
        <v>4062</v>
      </c>
      <c r="J40" s="19"/>
      <c r="K40" s="19"/>
      <c r="L40" s="19"/>
    </row>
    <row r="41" spans="1:12" s="16" customFormat="1" x14ac:dyDescent="0.2">
      <c r="A41" s="18" t="s">
        <v>12</v>
      </c>
      <c r="B41" s="19">
        <f>B39+B40+594.378+383.192+1482.306+1139.817</f>
        <v>7665.9010000000007</v>
      </c>
      <c r="C41" s="19">
        <f>C39+C40+594.041+379.625+1481.301+495.779+1139.495</f>
        <v>8186.4370000000008</v>
      </c>
      <c r="D41" s="19">
        <f>D39+D40+593.709+394.193+1480.313+495.601+1139.178</f>
        <v>8209.4680000000008</v>
      </c>
      <c r="E41" s="19">
        <f>E39+E40+593.381+377.96+1479.341+495.426+1138.864</f>
        <v>9278.4230000000007</v>
      </c>
      <c r="F41" s="19">
        <f>F39+F40+593.032+361.748+1478.368+495.239+1138.53</f>
        <v>9259.6139999999996</v>
      </c>
      <c r="G41" s="19">
        <v>7965.9930000000004</v>
      </c>
      <c r="H41" s="19">
        <v>7657.3429999999998</v>
      </c>
      <c r="I41" s="19">
        <f>I39+I40+2608</f>
        <v>6759</v>
      </c>
      <c r="J41" s="19"/>
      <c r="K41" s="19"/>
      <c r="L41" s="19"/>
    </row>
    <row r="42" spans="1:12" s="16" customFormat="1" x14ac:dyDescent="0.2">
      <c r="A42" s="18" t="s">
        <v>11</v>
      </c>
      <c r="B42" s="19">
        <f>255241686/1000000*35.13</f>
        <v>8966.6404291800009</v>
      </c>
      <c r="C42" s="17">
        <f>254941590/1000000*38.87</f>
        <v>9909.5796032999988</v>
      </c>
      <c r="D42" s="17">
        <f>253977249/1000000*34.29</f>
        <v>8708.8798682100005</v>
      </c>
      <c r="E42" s="17">
        <f>253136698/1000000*27.74</f>
        <v>7022.0120025199994</v>
      </c>
      <c r="F42" s="17">
        <f>252975615/1000000*22.66</f>
        <v>5732.4274359000001</v>
      </c>
      <c r="G42" s="17">
        <f>252.615882*10</f>
        <v>2526.1588200000001</v>
      </c>
      <c r="H42" s="17">
        <f>252267858/1000000*46.09</f>
        <v>11627.025575220001</v>
      </c>
      <c r="I42" s="17">
        <v>10887.7</v>
      </c>
      <c r="J42" s="17"/>
      <c r="K42" s="17"/>
      <c r="L42" s="17"/>
    </row>
    <row r="43" spans="1:12" x14ac:dyDescent="0.2">
      <c r="B43" s="16"/>
      <c r="C43" s="16"/>
      <c r="D43" s="16"/>
      <c r="E43" s="16"/>
      <c r="F43" s="16"/>
      <c r="G43" s="16"/>
      <c r="H43" s="16"/>
      <c r="I43" s="16"/>
      <c r="J43" s="16"/>
      <c r="K43" s="16"/>
    </row>
    <row r="44" spans="1:12" x14ac:dyDescent="0.2">
      <c r="A44" s="15" t="s">
        <v>10</v>
      </c>
      <c r="B44" s="27">
        <v>483.42899999999997</v>
      </c>
      <c r="C44" s="27">
        <v>1400.011</v>
      </c>
      <c r="D44" s="27">
        <v>1166.2260000000001</v>
      </c>
      <c r="E44" s="27">
        <v>2509.1880000000001</v>
      </c>
      <c r="F44" s="27">
        <v>2417.2550000000001</v>
      </c>
      <c r="G44" s="27">
        <v>1202.9639999999999</v>
      </c>
      <c r="H44" s="27">
        <v>264.61799999999999</v>
      </c>
      <c r="I44" s="27">
        <v>247</v>
      </c>
      <c r="J44" s="27"/>
      <c r="K44" s="27"/>
      <c r="L44" s="27"/>
    </row>
    <row r="46" spans="1:12" x14ac:dyDescent="0.2">
      <c r="A46" s="1" t="s">
        <v>9</v>
      </c>
      <c r="B46" s="13">
        <f t="shared" ref="B46:H46" si="17">C46+B12-F12</f>
        <v>11236.809999999992</v>
      </c>
      <c r="C46" s="13">
        <f t="shared" si="17"/>
        <v>10407.842999999993</v>
      </c>
      <c r="D46" s="13">
        <f t="shared" si="17"/>
        <v>11319.709999999995</v>
      </c>
      <c r="E46" s="13">
        <f t="shared" si="17"/>
        <v>12829.517999999995</v>
      </c>
      <c r="F46" s="13">
        <f t="shared" si="17"/>
        <v>14088.611999999996</v>
      </c>
      <c r="G46" s="13">
        <f t="shared" si="17"/>
        <v>15947.119999999995</v>
      </c>
      <c r="H46" s="13">
        <f t="shared" si="17"/>
        <v>16215.547999999997</v>
      </c>
      <c r="I46" s="12">
        <v>16227.3</v>
      </c>
      <c r="J46" s="11"/>
      <c r="K46" s="11"/>
      <c r="L46" s="11"/>
    </row>
    <row r="47" spans="1:12" x14ac:dyDescent="0.2">
      <c r="A47" s="1" t="s">
        <v>8</v>
      </c>
      <c r="B47" s="13">
        <f t="shared" ref="B47:C47" si="18">B27</f>
        <v>875.12400000000002</v>
      </c>
      <c r="C47" s="13">
        <f t="shared" si="18"/>
        <v>712.14800000000002</v>
      </c>
      <c r="D47" s="13">
        <f t="shared" ref="D47:I47" si="19">D27</f>
        <v>831.34400000000005</v>
      </c>
      <c r="E47" s="13">
        <f t="shared" si="19"/>
        <v>1066.0640000000001</v>
      </c>
      <c r="F47" s="13">
        <f t="shared" si="19"/>
        <v>1315.34</v>
      </c>
      <c r="G47" s="13">
        <f t="shared" si="19"/>
        <v>1592.355</v>
      </c>
      <c r="H47" s="13">
        <f t="shared" si="19"/>
        <v>1648.3500000000001</v>
      </c>
      <c r="I47" s="13">
        <f t="shared" si="19"/>
        <v>1665.87</v>
      </c>
      <c r="J47" s="11"/>
      <c r="K47" s="11"/>
      <c r="L47" s="11"/>
    </row>
    <row r="48" spans="1:12" x14ac:dyDescent="0.2">
      <c r="A48" s="1" t="s">
        <v>7</v>
      </c>
      <c r="B48" s="13">
        <f t="shared" ref="B48:H48" si="20">C48+B37-F37</f>
        <v>275.11750000000006</v>
      </c>
      <c r="C48" s="13">
        <f t="shared" si="20"/>
        <v>327.25150000000008</v>
      </c>
      <c r="D48" s="13">
        <f t="shared" si="20"/>
        <v>175.50050000000002</v>
      </c>
      <c r="E48" s="13">
        <f t="shared" si="20"/>
        <v>-48.815499999999929</v>
      </c>
      <c r="F48" s="13">
        <f t="shared" si="20"/>
        <v>424.96650000000011</v>
      </c>
      <c r="G48" s="13">
        <f t="shared" si="20"/>
        <v>474.85050000000012</v>
      </c>
      <c r="H48" s="13">
        <f t="shared" si="20"/>
        <v>546.37250000000017</v>
      </c>
      <c r="I48" s="12">
        <v>637.94450000000006</v>
      </c>
      <c r="J48" s="11"/>
      <c r="K48" s="11"/>
      <c r="L48" s="11"/>
    </row>
    <row r="50" spans="1:12" s="10" customFormat="1" x14ac:dyDescent="0.2">
      <c r="A50" s="10" t="s">
        <v>6</v>
      </c>
      <c r="B50" s="10">
        <f t="shared" ref="B50:C50" si="21">+SUM(B39:B40)/B47</f>
        <v>4.6464363907286286</v>
      </c>
      <c r="C50" s="10">
        <f t="shared" si="21"/>
        <v>5.7518886523587787</v>
      </c>
      <c r="D50" s="10">
        <f t="shared" ref="D50:I50" si="22">+SUM(D39:D40)/D47</f>
        <v>4.939560518870648</v>
      </c>
      <c r="E50" s="10">
        <f t="shared" si="22"/>
        <v>4.8716127737171497</v>
      </c>
      <c r="F50" s="10">
        <f t="shared" si="22"/>
        <v>3.9477982878951452</v>
      </c>
      <c r="G50" s="10">
        <f t="shared" si="22"/>
        <v>3.3791830339340154</v>
      </c>
      <c r="H50" s="10">
        <f t="shared" si="22"/>
        <v>3.0644844844844843</v>
      </c>
      <c r="I50" s="10">
        <f t="shared" si="22"/>
        <v>2.4917910761343922</v>
      </c>
    </row>
    <row r="51" spans="1:12" s="10" customFormat="1" x14ac:dyDescent="0.2">
      <c r="A51" s="10" t="s">
        <v>5</v>
      </c>
      <c r="B51" s="10">
        <f t="shared" ref="B51:C51" si="23">+B41/B47</f>
        <v>8.7597883271399262</v>
      </c>
      <c r="C51" s="10">
        <f t="shared" si="23"/>
        <v>11.495415278846533</v>
      </c>
      <c r="D51" s="10">
        <f t="shared" ref="D51:I51" si="24">+D41/D47</f>
        <v>9.8749350449392796</v>
      </c>
      <c r="E51" s="10">
        <f t="shared" si="24"/>
        <v>8.7034390055381294</v>
      </c>
      <c r="F51" s="10">
        <f t="shared" si="24"/>
        <v>7.0397114054160905</v>
      </c>
      <c r="G51" s="10">
        <f t="shared" si="24"/>
        <v>5.002648906807841</v>
      </c>
      <c r="H51" s="10">
        <f t="shared" si="24"/>
        <v>4.645459398792732</v>
      </c>
      <c r="I51" s="10">
        <f t="shared" si="24"/>
        <v>4.0573394082371372</v>
      </c>
    </row>
    <row r="52" spans="1:12" s="10" customFormat="1" x14ac:dyDescent="0.2">
      <c r="A52" s="10" t="s">
        <v>4</v>
      </c>
      <c r="B52" s="10">
        <f t="shared" ref="B52:C52" si="25">+(B41-B44)/B47</f>
        <v>8.207376326097787</v>
      </c>
      <c r="C52" s="10">
        <f t="shared" si="25"/>
        <v>9.529516336491854</v>
      </c>
      <c r="D52" s="10">
        <f t="shared" ref="D52:I52" si="26">+(D41-D44)/D47</f>
        <v>8.4721150330067942</v>
      </c>
      <c r="E52" s="10">
        <f t="shared" si="26"/>
        <v>6.3497454186615441</v>
      </c>
      <c r="F52" s="10">
        <f t="shared" si="26"/>
        <v>5.2019698328949167</v>
      </c>
      <c r="G52" s="10">
        <f t="shared" si="26"/>
        <v>4.2471867140179169</v>
      </c>
      <c r="H52" s="10">
        <f t="shared" si="26"/>
        <v>4.4849243182576508</v>
      </c>
      <c r="I52" s="10">
        <f t="shared" si="26"/>
        <v>3.9090685347596152</v>
      </c>
    </row>
    <row r="53" spans="1:12" s="6" customFormat="1" x14ac:dyDescent="0.2">
      <c r="A53" s="6" t="s">
        <v>3</v>
      </c>
      <c r="B53" s="6">
        <f t="shared" ref="B53:C53" si="27">+B48/B41</f>
        <v>3.588847547078941E-2</v>
      </c>
      <c r="C53" s="6">
        <f t="shared" si="27"/>
        <v>3.9974838870683309E-2</v>
      </c>
      <c r="D53" s="6">
        <f t="shared" ref="D53:I53" si="28">+D48/D41</f>
        <v>2.1377816443160506E-2</v>
      </c>
      <c r="E53" s="6">
        <f t="shared" si="28"/>
        <v>-5.2611850095646562E-3</v>
      </c>
      <c r="F53" s="6">
        <f t="shared" si="28"/>
        <v>4.5894623685177389E-2</v>
      </c>
      <c r="G53" s="6">
        <f t="shared" si="28"/>
        <v>5.9609705908604253E-2</v>
      </c>
      <c r="H53" s="6">
        <f t="shared" si="28"/>
        <v>7.1352752514808354E-2</v>
      </c>
      <c r="I53" s="6">
        <f t="shared" si="28"/>
        <v>9.4384450362479666E-2</v>
      </c>
    </row>
    <row r="54" spans="1:12" s="6" customFormat="1" x14ac:dyDescent="0.2">
      <c r="A54" s="8" t="s">
        <v>2</v>
      </c>
      <c r="B54" s="9"/>
      <c r="C54" s="9"/>
      <c r="D54" s="9"/>
      <c r="E54" s="9"/>
      <c r="F54" s="9"/>
      <c r="G54" s="9"/>
      <c r="H54" s="9"/>
      <c r="I54" s="9"/>
      <c r="J54" s="9"/>
      <c r="K54" s="9"/>
      <c r="L54" s="9"/>
    </row>
    <row r="55" spans="1:12" s="6" customFormat="1" x14ac:dyDescent="0.2">
      <c r="A55" s="6" t="s">
        <v>1</v>
      </c>
      <c r="B55" s="7">
        <f t="shared" ref="B55:C55" si="29">IF(B42=0,IF(B54="","","*"&amp;TEXT(B54,"0.0x")),(B41+B42-B44)/B47)</f>
        <v>18.453513364026126</v>
      </c>
      <c r="C55" s="7">
        <f t="shared" si="29"/>
        <v>23.444572761982059</v>
      </c>
      <c r="D55" s="7">
        <f t="shared" ref="D55:I55" si="30">IF(D42=0,IF(D54="","","*"&amp;TEXT(D54,"0.0x")),(D41+D42-D44)/D47)</f>
        <v>18.947778378396912</v>
      </c>
      <c r="E55" s="7">
        <f t="shared" si="30"/>
        <v>12.936603245696318</v>
      </c>
      <c r="F55" s="7">
        <f t="shared" si="30"/>
        <v>9.5601034226131638</v>
      </c>
      <c r="G55" s="7">
        <f t="shared" si="30"/>
        <v>5.833616134593103</v>
      </c>
      <c r="H55" s="7">
        <f t="shared" si="30"/>
        <v>11.538660220960354</v>
      </c>
      <c r="I55" s="7">
        <f t="shared" si="30"/>
        <v>10.444812620432568</v>
      </c>
      <c r="J55" s="7"/>
      <c r="K55" s="7"/>
      <c r="L55" s="7"/>
    </row>
    <row r="57" spans="1:12" ht="80.25" customHeight="1" x14ac:dyDescent="0.2">
      <c r="A57" s="5" t="s">
        <v>0</v>
      </c>
      <c r="B57" s="4" t="s">
        <v>236</v>
      </c>
      <c r="C57" s="4" t="s">
        <v>236</v>
      </c>
      <c r="D57" s="4" t="s">
        <v>236</v>
      </c>
      <c r="E57" s="4" t="s">
        <v>279</v>
      </c>
      <c r="F57" s="4" t="s">
        <v>236</v>
      </c>
      <c r="G57" s="4" t="s">
        <v>236</v>
      </c>
      <c r="H57" s="4" t="s">
        <v>104</v>
      </c>
      <c r="I57" s="4" t="s">
        <v>104</v>
      </c>
      <c r="J57" s="4"/>
      <c r="K57" s="4"/>
      <c r="L57" s="4"/>
    </row>
    <row r="58" spans="1:12" x14ac:dyDescent="0.2">
      <c r="A58" s="2"/>
      <c r="B58" s="3"/>
      <c r="C58" s="3"/>
      <c r="D58" s="3"/>
      <c r="E58" s="3"/>
      <c r="F58" s="3"/>
      <c r="G58" s="3"/>
      <c r="H58" s="3"/>
      <c r="I58" s="3"/>
    </row>
    <row r="59" spans="1:12" x14ac:dyDescent="0.2">
      <c r="A59" s="2"/>
    </row>
  </sheetData>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470</v>
      </c>
    </row>
    <row r="3" spans="1:10" s="35" customFormat="1" x14ac:dyDescent="0.2">
      <c r="A3" s="36" t="s">
        <v>43</v>
      </c>
      <c r="B3" s="35" t="s">
        <v>471</v>
      </c>
    </row>
    <row r="4" spans="1:10" x14ac:dyDescent="0.2">
      <c r="A4" s="34" t="s">
        <v>41</v>
      </c>
      <c r="B4" s="1" t="s">
        <v>40</v>
      </c>
    </row>
    <row r="5" spans="1:10" x14ac:dyDescent="0.2">
      <c r="A5" s="34" t="s">
        <v>39</v>
      </c>
    </row>
    <row r="6" spans="1:10" x14ac:dyDescent="0.2">
      <c r="A6" s="34" t="s">
        <v>38</v>
      </c>
      <c r="B6" s="1">
        <v>4</v>
      </c>
    </row>
    <row r="7" spans="1:10" x14ac:dyDescent="0.2">
      <c r="A7" s="34" t="s">
        <v>37</v>
      </c>
      <c r="B7" s="1" t="s">
        <v>473</v>
      </c>
    </row>
    <row r="8" spans="1:10" x14ac:dyDescent="0.2">
      <c r="A8" s="34" t="s">
        <v>281</v>
      </c>
      <c r="B8" s="1" t="s">
        <v>472</v>
      </c>
    </row>
    <row r="9" spans="1:10" x14ac:dyDescent="0.2">
      <c r="A9" s="22"/>
    </row>
    <row r="10" spans="1:10" x14ac:dyDescent="0.2">
      <c r="A10" s="22" t="s">
        <v>36</v>
      </c>
      <c r="B10" s="33">
        <v>44286</v>
      </c>
      <c r="C10" s="33">
        <v>44196</v>
      </c>
      <c r="D10" s="33">
        <v>44104</v>
      </c>
      <c r="E10" s="33">
        <v>44012</v>
      </c>
      <c r="F10" s="33">
        <v>43921</v>
      </c>
      <c r="G10" s="33">
        <v>43830</v>
      </c>
      <c r="H10" s="33">
        <v>43738</v>
      </c>
      <c r="I10" s="33">
        <f>EOMONTH(H10,-3)</f>
        <v>43646</v>
      </c>
      <c r="J10" s="33">
        <f t="shared" ref="J10" si="0">EOMONTH(I10,-3)</f>
        <v>43555</v>
      </c>
    </row>
    <row r="12" spans="1:10" x14ac:dyDescent="0.2">
      <c r="A12" s="15" t="s">
        <v>35</v>
      </c>
      <c r="B12" s="19">
        <v>132.07</v>
      </c>
      <c r="C12" s="19">
        <v>156.54399999999998</v>
      </c>
      <c r="D12" s="19">
        <v>136.77799999999999</v>
      </c>
      <c r="E12" s="19">
        <v>104.99299999999999</v>
      </c>
      <c r="F12" s="19">
        <v>110.839</v>
      </c>
      <c r="G12" s="19">
        <v>126.69</v>
      </c>
      <c r="H12" s="19">
        <v>123.76900000000001</v>
      </c>
      <c r="I12" s="19">
        <v>121.621</v>
      </c>
      <c r="J12" s="19">
        <v>109.687</v>
      </c>
    </row>
    <row r="13" spans="1:10" s="28" customFormat="1" x14ac:dyDescent="0.2">
      <c r="A13" s="28" t="s">
        <v>34</v>
      </c>
      <c r="B13" s="28">
        <f>+B12/F12-1</f>
        <v>0.19154810130008393</v>
      </c>
      <c r="C13" s="28">
        <f>+C12/G12-1</f>
        <v>0.23564606519851594</v>
      </c>
      <c r="D13" s="28">
        <f>+D12/H12-1</f>
        <v>0.10510709466829327</v>
      </c>
      <c r="E13" s="28">
        <f>+E12/I12-1</f>
        <v>-0.13671980990125066</v>
      </c>
      <c r="F13" s="28">
        <f>+F12/J12-1</f>
        <v>1.0502611977718512E-2</v>
      </c>
    </row>
    <row r="14" spans="1:10" s="23" customFormat="1" x14ac:dyDescent="0.2">
      <c r="A14" s="31" t="s">
        <v>33</v>
      </c>
      <c r="B14" s="32" t="s">
        <v>32</v>
      </c>
      <c r="C14" s="32" t="s">
        <v>32</v>
      </c>
      <c r="D14" s="32" t="s">
        <v>32</v>
      </c>
      <c r="E14" s="32" t="s">
        <v>32</v>
      </c>
      <c r="F14" s="32" t="s">
        <v>32</v>
      </c>
      <c r="G14" s="32"/>
      <c r="H14" s="32"/>
      <c r="I14" s="32"/>
      <c r="J14" s="32"/>
    </row>
    <row r="16" spans="1:10" s="22" customFormat="1" x14ac:dyDescent="0.2">
      <c r="A16" s="30" t="s">
        <v>31</v>
      </c>
      <c r="B16" s="29">
        <v>36.799999999999997</v>
      </c>
      <c r="C16" s="29">
        <v>44.7</v>
      </c>
      <c r="D16" s="29">
        <v>43.4</v>
      </c>
      <c r="E16" s="29">
        <v>31.9</v>
      </c>
      <c r="F16" s="29">
        <v>27.2</v>
      </c>
      <c r="G16" s="29">
        <v>32.200000000000003</v>
      </c>
      <c r="H16" s="29">
        <v>33.700000000000003</v>
      </c>
      <c r="I16" s="29">
        <v>34.5</v>
      </c>
      <c r="J16" s="29">
        <v>24.7</v>
      </c>
    </row>
    <row r="17" spans="1:10" s="28" customFormat="1" x14ac:dyDescent="0.2">
      <c r="A17" s="28" t="s">
        <v>30</v>
      </c>
      <c r="B17" s="28">
        <f t="shared" ref="B17" si="1">+B16/B12</f>
        <v>0.27864011509048231</v>
      </c>
      <c r="C17" s="28">
        <f t="shared" ref="C17" si="2">+C16/C12</f>
        <v>0.28554272281275556</v>
      </c>
      <c r="D17" s="28">
        <f t="shared" ref="D17" si="3">+D16/D12</f>
        <v>0.31730249016654727</v>
      </c>
      <c r="E17" s="28">
        <f t="shared" ref="E17:F17" si="4">+E16/E12</f>
        <v>0.30382977912813236</v>
      </c>
      <c r="F17" s="28">
        <f t="shared" si="4"/>
        <v>0.24540098701720514</v>
      </c>
      <c r="G17" s="28">
        <f t="shared" ref="G17:H17" si="5">+G16/G12</f>
        <v>0.25416370668561056</v>
      </c>
      <c r="H17" s="28">
        <f t="shared" si="5"/>
        <v>0.27228142749800033</v>
      </c>
      <c r="I17" s="28">
        <f t="shared" ref="I17" si="6">+I16/I12</f>
        <v>0.28366811652592894</v>
      </c>
      <c r="J17" s="28">
        <f t="shared" ref="J17" si="7">+J16/J12</f>
        <v>0.22518621167503897</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 t="shared" ref="B22" si="8">SUM(B16,B19:B21)</f>
        <v>36.799999999999997</v>
      </c>
      <c r="C22" s="20">
        <f t="shared" ref="C22" si="9">SUM(C16,C19:C21)</f>
        <v>44.7</v>
      </c>
      <c r="D22" s="20">
        <f t="shared" ref="D22" si="10">SUM(D16,D19:D21)</f>
        <v>43.4</v>
      </c>
      <c r="E22" s="20">
        <f t="shared" ref="E22:F22" si="11">SUM(E16,E19:E21)</f>
        <v>31.9</v>
      </c>
      <c r="F22" s="20">
        <f t="shared" si="11"/>
        <v>27.2</v>
      </c>
      <c r="G22" s="20">
        <f t="shared" ref="G22:H22" si="12">SUM(G16,G19:G21)</f>
        <v>32.200000000000003</v>
      </c>
      <c r="H22" s="20">
        <f t="shared" si="12"/>
        <v>33.700000000000003</v>
      </c>
      <c r="I22" s="20">
        <f t="shared" ref="I22" si="13">SUM(I16,I19:I21)</f>
        <v>34.5</v>
      </c>
      <c r="J22" s="20">
        <f t="shared" ref="J22" si="14">SUM(J16,J19:J21)</f>
        <v>24.7</v>
      </c>
    </row>
    <row r="23" spans="1:10" s="22" customFormat="1" x14ac:dyDescent="0.2">
      <c r="B23" s="20"/>
      <c r="C23" s="20"/>
      <c r="D23" s="20"/>
      <c r="E23" s="20"/>
      <c r="F23" s="20"/>
      <c r="G23" s="20"/>
      <c r="H23" s="20"/>
      <c r="I23" s="20"/>
      <c r="J23" s="20"/>
    </row>
    <row r="24" spans="1:10" s="22" customFormat="1" x14ac:dyDescent="0.2">
      <c r="A24" s="22" t="s">
        <v>27</v>
      </c>
      <c r="B24" s="63">
        <f>SUM(B22:E22)</f>
        <v>156.80000000000001</v>
      </c>
      <c r="C24" s="63">
        <f>SUM(C22:F22)</f>
        <v>147.19999999999999</v>
      </c>
      <c r="D24" s="63">
        <f>SUM(D22:G22)</f>
        <v>134.69999999999999</v>
      </c>
      <c r="E24" s="63">
        <f>SUM(E22:H22)</f>
        <v>125</v>
      </c>
      <c r="F24" s="61">
        <v>147.5</v>
      </c>
      <c r="G24" s="20"/>
      <c r="H24" s="20"/>
      <c r="I24" s="20"/>
      <c r="J24" s="20"/>
    </row>
    <row r="25" spans="1:10" s="23" customFormat="1" x14ac:dyDescent="0.2">
      <c r="A25" s="15" t="s">
        <v>26</v>
      </c>
      <c r="B25" s="27">
        <f>172.1-B24</f>
        <v>15.299999999999983</v>
      </c>
      <c r="C25" s="27">
        <f>166.3-C24</f>
        <v>19.100000000000023</v>
      </c>
      <c r="D25" s="27">
        <f>134.7-D24</f>
        <v>0</v>
      </c>
      <c r="E25" s="27">
        <f>125-E24</f>
        <v>0</v>
      </c>
      <c r="F25" s="27">
        <f>147.5-F24</f>
        <v>0</v>
      </c>
      <c r="G25" s="27"/>
      <c r="H25" s="27"/>
      <c r="I25" s="27"/>
      <c r="J25" s="27"/>
    </row>
    <row r="26" spans="1:10" s="23" customFormat="1" x14ac:dyDescent="0.2">
      <c r="A26" s="15" t="s">
        <v>25</v>
      </c>
      <c r="B26" s="21">
        <v>0</v>
      </c>
      <c r="C26" s="21">
        <v>0</v>
      </c>
      <c r="D26" s="21">
        <v>0</v>
      </c>
      <c r="E26" s="21">
        <v>0</v>
      </c>
      <c r="F26" s="21">
        <v>0</v>
      </c>
      <c r="G26" s="21"/>
      <c r="H26" s="21"/>
      <c r="I26" s="21"/>
      <c r="J26" s="21"/>
    </row>
    <row r="27" spans="1:10" s="24" customFormat="1" x14ac:dyDescent="0.2">
      <c r="A27" s="22" t="s">
        <v>24</v>
      </c>
      <c r="B27" s="20">
        <f>B24+B25+B26</f>
        <v>172.1</v>
      </c>
      <c r="C27" s="20">
        <f>C24+C25+C26</f>
        <v>166.3</v>
      </c>
      <c r="D27" s="20">
        <f>D24+D25+D26</f>
        <v>134.69999999999999</v>
      </c>
      <c r="E27" s="20">
        <f>E24+E25+E26</f>
        <v>125</v>
      </c>
      <c r="F27" s="20">
        <f>F24+F25+F26</f>
        <v>147.5</v>
      </c>
      <c r="G27" s="20"/>
      <c r="H27" s="20"/>
      <c r="I27" s="20"/>
      <c r="J27" s="20"/>
    </row>
    <row r="28" spans="1:10" s="23" customFormat="1" x14ac:dyDescent="0.2"/>
    <row r="29" spans="1:10" s="22" customFormat="1" x14ac:dyDescent="0.2">
      <c r="A29" s="22" t="s">
        <v>23</v>
      </c>
      <c r="B29" s="20">
        <f t="shared" ref="B29:J29" si="15">B22</f>
        <v>36.799999999999997</v>
      </c>
      <c r="C29" s="20">
        <f t="shared" si="15"/>
        <v>44.7</v>
      </c>
      <c r="D29" s="20">
        <f t="shared" si="15"/>
        <v>43.4</v>
      </c>
      <c r="E29" s="20">
        <f t="shared" si="15"/>
        <v>31.9</v>
      </c>
      <c r="F29" s="20">
        <f t="shared" si="15"/>
        <v>27.2</v>
      </c>
      <c r="G29" s="20">
        <f t="shared" si="15"/>
        <v>32.200000000000003</v>
      </c>
      <c r="H29" s="20">
        <f t="shared" si="15"/>
        <v>33.700000000000003</v>
      </c>
      <c r="I29" s="20">
        <f t="shared" si="15"/>
        <v>34.5</v>
      </c>
      <c r="J29" s="20">
        <f t="shared" si="15"/>
        <v>24.7</v>
      </c>
    </row>
    <row r="30" spans="1:10" s="11" customFormat="1" x14ac:dyDescent="0.2">
      <c r="A30" s="19" t="s">
        <v>22</v>
      </c>
      <c r="B30" s="19">
        <v>-6.7169999999999996</v>
      </c>
      <c r="C30" s="19">
        <v>-9.5000000000000071</v>
      </c>
      <c r="D30" s="19">
        <v>-11.468999999999999</v>
      </c>
      <c r="E30" s="19">
        <v>-13.641</v>
      </c>
      <c r="F30" s="19">
        <v>-17.262999999999998</v>
      </c>
      <c r="G30" s="19">
        <v>-12.409999999999997</v>
      </c>
      <c r="H30" s="19">
        <v>-12.757</v>
      </c>
      <c r="I30" s="19">
        <v>-12.829000000000001</v>
      </c>
      <c r="J30" s="19">
        <v>-13.023</v>
      </c>
    </row>
    <row r="31" spans="1:10" s="11" customFormat="1" x14ac:dyDescent="0.2">
      <c r="A31" s="19" t="s">
        <v>21</v>
      </c>
      <c r="B31" s="19">
        <v>4.4349999999999996</v>
      </c>
      <c r="C31" s="19">
        <v>-9.0499999999999989</v>
      </c>
      <c r="D31" s="19">
        <v>8.7240000000000002</v>
      </c>
      <c r="E31" s="19">
        <v>13.010999999999999</v>
      </c>
      <c r="F31" s="19">
        <v>-0.45900000000000002</v>
      </c>
      <c r="G31" s="19">
        <v>-0.87400000000000055</v>
      </c>
      <c r="H31" s="19">
        <v>-1.1659999999999999</v>
      </c>
      <c r="I31" s="19">
        <v>-1.379</v>
      </c>
      <c r="J31" s="19">
        <v>-1.2789999999999999</v>
      </c>
    </row>
    <row r="32" spans="1:10" s="11" customFormat="1" x14ac:dyDescent="0.2">
      <c r="A32" s="19" t="s">
        <v>20</v>
      </c>
      <c r="B32" s="19">
        <v>0.73899999999999966</v>
      </c>
      <c r="C32" s="19">
        <v>8.8580000000000041</v>
      </c>
      <c r="D32" s="19">
        <v>-17.870000000000005</v>
      </c>
      <c r="E32" s="19">
        <v>2.1780000000000044</v>
      </c>
      <c r="F32" s="19">
        <v>1.3899999999999992</v>
      </c>
      <c r="G32" s="19">
        <v>7.5639999999999983</v>
      </c>
      <c r="H32" s="19">
        <v>-6.9339999999999993</v>
      </c>
      <c r="I32" s="19">
        <v>-2.8160000000000016</v>
      </c>
      <c r="J32" s="19">
        <v>7.1360000000000019</v>
      </c>
    </row>
    <row r="33" spans="1:10" s="11" customFormat="1" x14ac:dyDescent="0.2">
      <c r="A33" s="19" t="s">
        <v>19</v>
      </c>
      <c r="B33" s="19">
        <f t="shared" ref="B33" si="16">-B19-B20-B21</f>
        <v>0</v>
      </c>
      <c r="C33" s="19">
        <f t="shared" ref="C33" si="17">-C19-C20-C21</f>
        <v>0</v>
      </c>
      <c r="D33" s="19">
        <f t="shared" ref="D33:J33" si="18">-D19-D20-D21</f>
        <v>0</v>
      </c>
      <c r="E33" s="19">
        <f t="shared" si="18"/>
        <v>0</v>
      </c>
      <c r="F33" s="19">
        <f t="shared" si="18"/>
        <v>0</v>
      </c>
      <c r="G33" s="19">
        <f t="shared" si="18"/>
        <v>0</v>
      </c>
      <c r="H33" s="19">
        <f t="shared" si="18"/>
        <v>0</v>
      </c>
      <c r="I33" s="19">
        <f t="shared" si="18"/>
        <v>0</v>
      </c>
      <c r="J33" s="19">
        <f t="shared" si="18"/>
        <v>0</v>
      </c>
    </row>
    <row r="34" spans="1:10" s="11" customFormat="1" x14ac:dyDescent="0.2">
      <c r="A34" s="19" t="s">
        <v>18</v>
      </c>
      <c r="B34" s="21">
        <f t="shared" ref="B34" si="19">B35-B29-B30-B31-B32-B33</f>
        <v>-11.543999999999995</v>
      </c>
      <c r="C34" s="21">
        <f t="shared" ref="C34" si="20">C35-C29-C30-C31-C32-C33</f>
        <v>-29.893000000000001</v>
      </c>
      <c r="D34" s="21">
        <f t="shared" ref="D34:J34" si="21">D35-D29-D30-D31-D32-D33</f>
        <v>-9.4959999999999987</v>
      </c>
      <c r="E34" s="21">
        <f t="shared" si="21"/>
        <v>-13.433000000000002</v>
      </c>
      <c r="F34" s="21">
        <f t="shared" si="21"/>
        <v>4.3480000000000008</v>
      </c>
      <c r="G34" s="21">
        <f t="shared" si="21"/>
        <v>-1.8360000000000056</v>
      </c>
      <c r="H34" s="21">
        <f t="shared" si="21"/>
        <v>0.21199999999999619</v>
      </c>
      <c r="I34" s="21">
        <f t="shared" si="21"/>
        <v>-0.32899999999999574</v>
      </c>
      <c r="J34" s="21">
        <f t="shared" si="21"/>
        <v>-0.79700000000000326</v>
      </c>
    </row>
    <row r="35" spans="1:10" s="20" customFormat="1" x14ac:dyDescent="0.2">
      <c r="A35" s="20" t="s">
        <v>17</v>
      </c>
      <c r="B35" s="20">
        <v>23.713000000000001</v>
      </c>
      <c r="C35" s="20">
        <v>5.115000000000002</v>
      </c>
      <c r="D35" s="20">
        <v>13.288999999999994</v>
      </c>
      <c r="E35" s="20">
        <v>20.015000000000001</v>
      </c>
      <c r="F35" s="20">
        <v>15.216000000000001</v>
      </c>
      <c r="G35" s="20">
        <v>24.643999999999998</v>
      </c>
      <c r="H35" s="20">
        <v>13.055</v>
      </c>
      <c r="I35" s="20">
        <v>17.147000000000002</v>
      </c>
      <c r="J35" s="20">
        <v>16.736999999999998</v>
      </c>
    </row>
    <row r="36" spans="1:10" s="11" customFormat="1" x14ac:dyDescent="0.2">
      <c r="A36" s="19" t="s">
        <v>16</v>
      </c>
      <c r="B36" s="21">
        <v>-4.9790000000000001</v>
      </c>
      <c r="C36" s="21">
        <v>-3.1020000000000003</v>
      </c>
      <c r="D36" s="21">
        <v>-4.3170000000000002</v>
      </c>
      <c r="E36" s="21">
        <v>-4.6219999999999999</v>
      </c>
      <c r="F36" s="21">
        <v>-4.7360000000000007</v>
      </c>
      <c r="G36" s="21">
        <v>-3.9849999999999994</v>
      </c>
      <c r="H36" s="21">
        <v>-3.5990000000000002</v>
      </c>
      <c r="I36" s="21">
        <v>-4.0270000000000001</v>
      </c>
      <c r="J36" s="21">
        <v>-5.0919999999999996</v>
      </c>
    </row>
    <row r="37" spans="1:10" s="20" customFormat="1" x14ac:dyDescent="0.2">
      <c r="A37" s="20" t="s">
        <v>15</v>
      </c>
      <c r="B37" s="20">
        <f t="shared" ref="B37:E37" si="22">+B35+B36</f>
        <v>18.734000000000002</v>
      </c>
      <c r="C37" s="20">
        <f t="shared" si="22"/>
        <v>2.0130000000000017</v>
      </c>
      <c r="D37" s="20">
        <f t="shared" si="22"/>
        <v>8.9719999999999942</v>
      </c>
      <c r="E37" s="20">
        <f t="shared" si="22"/>
        <v>15.393000000000001</v>
      </c>
      <c r="F37" s="20">
        <f t="shared" ref="F37:G37" si="23">+F35+F36</f>
        <v>10.48</v>
      </c>
      <c r="G37" s="20">
        <f t="shared" si="23"/>
        <v>20.658999999999999</v>
      </c>
      <c r="H37" s="20">
        <f t="shared" ref="H37:J37" si="24">+H35+H36</f>
        <v>9.4559999999999995</v>
      </c>
      <c r="I37" s="20">
        <f t="shared" si="24"/>
        <v>13.120000000000001</v>
      </c>
      <c r="J37" s="20">
        <f t="shared" si="24"/>
        <v>11.645</v>
      </c>
    </row>
    <row r="39" spans="1:10" s="16" customFormat="1" x14ac:dyDescent="0.2">
      <c r="A39" s="18" t="s">
        <v>14</v>
      </c>
      <c r="B39" s="19">
        <v>0</v>
      </c>
      <c r="C39" s="19">
        <v>0</v>
      </c>
      <c r="D39" s="19">
        <v>0</v>
      </c>
      <c r="E39" s="19">
        <v>0</v>
      </c>
      <c r="F39" s="19">
        <v>25</v>
      </c>
      <c r="G39" s="19">
        <v>0</v>
      </c>
      <c r="H39" s="19">
        <v>0</v>
      </c>
      <c r="I39" s="19"/>
      <c r="J39" s="19"/>
    </row>
    <row r="40" spans="1:10" s="16" customFormat="1" x14ac:dyDescent="0.2">
      <c r="A40" s="18" t="s">
        <v>13</v>
      </c>
      <c r="B40" s="19">
        <v>766.90000000000009</v>
      </c>
      <c r="C40" s="19">
        <v>769.40000000000009</v>
      </c>
      <c r="D40" s="19">
        <v>671.5</v>
      </c>
      <c r="E40" s="19">
        <f>670+3.9</f>
        <v>673.9</v>
      </c>
      <c r="F40" s="19">
        <f>670+4.6</f>
        <v>674.6</v>
      </c>
      <c r="G40" s="19">
        <f>620</f>
        <v>620</v>
      </c>
      <c r="H40" s="19">
        <v>670</v>
      </c>
      <c r="I40" s="19"/>
      <c r="J40" s="19"/>
    </row>
    <row r="41" spans="1:10" s="16" customFormat="1" x14ac:dyDescent="0.2">
      <c r="A41" s="18" t="s">
        <v>12</v>
      </c>
      <c r="B41" s="19">
        <f>B39+B40</f>
        <v>766.90000000000009</v>
      </c>
      <c r="C41" s="19">
        <f>C39+C40</f>
        <v>769.40000000000009</v>
      </c>
      <c r="D41" s="19">
        <f>D39+D40+145</f>
        <v>816.5</v>
      </c>
      <c r="E41" s="19">
        <f>E39+E40+145</f>
        <v>818.9</v>
      </c>
      <c r="F41" s="19">
        <f>F39+F40+145</f>
        <v>844.6</v>
      </c>
      <c r="G41" s="19">
        <f>G39+G40+195</f>
        <v>815</v>
      </c>
      <c r="H41" s="19">
        <f>H39+H40+145</f>
        <v>815</v>
      </c>
      <c r="I41" s="19"/>
      <c r="J41" s="19"/>
    </row>
    <row r="42" spans="1:10" s="16" customFormat="1" x14ac:dyDescent="0.2">
      <c r="A42" s="18" t="s">
        <v>11</v>
      </c>
      <c r="B42" s="17">
        <v>815</v>
      </c>
      <c r="C42" s="17">
        <v>815</v>
      </c>
      <c r="D42" s="17">
        <v>815</v>
      </c>
      <c r="E42" s="17">
        <v>815</v>
      </c>
      <c r="F42" s="17">
        <v>815</v>
      </c>
      <c r="G42" s="17">
        <v>815</v>
      </c>
      <c r="H42" s="17">
        <v>815</v>
      </c>
      <c r="I42" s="17"/>
      <c r="J42" s="17"/>
    </row>
    <row r="43" spans="1:10" x14ac:dyDescent="0.2">
      <c r="B43" s="16"/>
      <c r="C43" s="16"/>
      <c r="D43" s="16"/>
      <c r="E43" s="16"/>
      <c r="F43" s="16"/>
      <c r="G43" s="16"/>
      <c r="H43" s="16"/>
      <c r="I43" s="16"/>
      <c r="J43" s="16"/>
    </row>
    <row r="44" spans="1:10" x14ac:dyDescent="0.2">
      <c r="A44" s="15" t="s">
        <v>10</v>
      </c>
      <c r="B44" s="27">
        <v>113.48399999999999</v>
      </c>
      <c r="C44" s="27">
        <v>105.7</v>
      </c>
      <c r="D44" s="27">
        <v>123.782</v>
      </c>
      <c r="E44" s="27">
        <v>117.01</v>
      </c>
      <c r="F44" s="27">
        <v>129.77699999999999</v>
      </c>
      <c r="G44" s="27">
        <v>50</v>
      </c>
      <c r="H44" s="27">
        <v>50</v>
      </c>
      <c r="I44" s="27"/>
      <c r="J44" s="27"/>
    </row>
    <row r="46" spans="1:10" x14ac:dyDescent="0.2">
      <c r="A46" s="1" t="s">
        <v>9</v>
      </c>
      <c r="B46" s="13">
        <f>C46+B12-F12</f>
        <v>530.38499999999999</v>
      </c>
      <c r="C46" s="13">
        <f>D46+C12-G12</f>
        <v>509.15400000000005</v>
      </c>
      <c r="D46" s="13">
        <f>E46+D12-H12</f>
        <v>479.30000000000007</v>
      </c>
      <c r="E46" s="13">
        <f>F46+E12-I12</f>
        <v>466.29100000000005</v>
      </c>
      <c r="F46" s="13">
        <f>G46+F12-J12</f>
        <v>482.91899999999998</v>
      </c>
      <c r="G46" s="12">
        <v>481.767</v>
      </c>
      <c r="H46" s="12">
        <v>507</v>
      </c>
      <c r="I46" s="11"/>
      <c r="J46" s="11"/>
    </row>
    <row r="47" spans="1:10" x14ac:dyDescent="0.2">
      <c r="A47" s="1" t="s">
        <v>8</v>
      </c>
      <c r="B47" s="13">
        <f>B27</f>
        <v>172.1</v>
      </c>
      <c r="C47" s="13">
        <f>C27</f>
        <v>166.3</v>
      </c>
      <c r="D47" s="13">
        <f>D27</f>
        <v>134.69999999999999</v>
      </c>
      <c r="E47" s="13">
        <f>E27</f>
        <v>125</v>
      </c>
      <c r="F47" s="13">
        <f>F27</f>
        <v>147.5</v>
      </c>
      <c r="G47" s="12">
        <v>142.1</v>
      </c>
      <c r="H47" s="12">
        <v>134</v>
      </c>
      <c r="I47" s="11"/>
      <c r="J47" s="11"/>
    </row>
    <row r="48" spans="1:10" x14ac:dyDescent="0.2">
      <c r="A48" s="1" t="s">
        <v>7</v>
      </c>
      <c r="B48" s="13">
        <f>C48+B37-F37</f>
        <v>45.111999999999995</v>
      </c>
      <c r="C48" s="13">
        <f>D48+C37-G37</f>
        <v>36.857999999999997</v>
      </c>
      <c r="D48" s="13">
        <f>E48+D37-H37</f>
        <v>55.503999999999991</v>
      </c>
      <c r="E48" s="13">
        <f>F48+E37-I37</f>
        <v>55.988</v>
      </c>
      <c r="F48" s="13">
        <f>G48+F37-J37</f>
        <v>53.715000000000003</v>
      </c>
      <c r="G48" s="12">
        <v>54.879999999999995</v>
      </c>
      <c r="H48" s="12">
        <v>48.227500000000006</v>
      </c>
      <c r="I48" s="11"/>
      <c r="J48" s="11"/>
    </row>
    <row r="50" spans="1:10" s="10" customFormat="1" x14ac:dyDescent="0.2">
      <c r="A50" s="10" t="s">
        <v>6</v>
      </c>
      <c r="B50" s="10">
        <f t="shared" ref="B50" si="25">+SUM(B39:B40)/B47</f>
        <v>4.456130156885532</v>
      </c>
      <c r="C50" s="10">
        <f t="shared" ref="C50:H50" si="26">+SUM(C39:C40)/C47</f>
        <v>4.6265784726398076</v>
      </c>
      <c r="D50" s="10">
        <f t="shared" si="26"/>
        <v>4.9851521900519682</v>
      </c>
      <c r="E50" s="10">
        <f t="shared" si="26"/>
        <v>5.3911999999999995</v>
      </c>
      <c r="F50" s="10">
        <f t="shared" si="26"/>
        <v>4.743050847457627</v>
      </c>
      <c r="G50" s="10">
        <f t="shared" si="26"/>
        <v>4.3631245601688953</v>
      </c>
      <c r="H50" s="10">
        <f t="shared" si="26"/>
        <v>5</v>
      </c>
    </row>
    <row r="51" spans="1:10" s="10" customFormat="1" x14ac:dyDescent="0.2">
      <c r="A51" s="10" t="s">
        <v>5</v>
      </c>
      <c r="B51" s="10">
        <f t="shared" ref="B51" si="27">+B41/B47</f>
        <v>4.456130156885532</v>
      </c>
      <c r="C51" s="10">
        <f t="shared" ref="C51:H51" si="28">+C41/C47</f>
        <v>4.6265784726398076</v>
      </c>
      <c r="D51" s="10">
        <f t="shared" si="28"/>
        <v>6.0616184112843357</v>
      </c>
      <c r="E51" s="10">
        <f t="shared" si="28"/>
        <v>6.5511999999999997</v>
      </c>
      <c r="F51" s="10">
        <f t="shared" si="28"/>
        <v>5.7261016949152541</v>
      </c>
      <c r="G51" s="10">
        <f t="shared" si="28"/>
        <v>5.7353976073187898</v>
      </c>
      <c r="H51" s="10">
        <f t="shared" si="28"/>
        <v>6.0820895522388057</v>
      </c>
    </row>
    <row r="52" spans="1:10" s="10" customFormat="1" x14ac:dyDescent="0.2">
      <c r="A52" s="10" t="s">
        <v>4</v>
      </c>
      <c r="B52" s="10">
        <f t="shared" ref="B52" si="29">+(B41-B44)/B47</f>
        <v>3.796722835560721</v>
      </c>
      <c r="C52" s="10">
        <f t="shared" ref="C52:H52" si="30">+(C41-C44)/C47</f>
        <v>3.9909801563439569</v>
      </c>
      <c r="D52" s="10">
        <f t="shared" si="30"/>
        <v>5.1426726057906462</v>
      </c>
      <c r="E52" s="10">
        <f t="shared" si="30"/>
        <v>5.6151200000000001</v>
      </c>
      <c r="F52" s="10">
        <f t="shared" si="30"/>
        <v>4.8462576271186446</v>
      </c>
      <c r="G52" s="10">
        <f t="shared" si="30"/>
        <v>5.3835327234342012</v>
      </c>
      <c r="H52" s="10">
        <f t="shared" si="30"/>
        <v>5.7089552238805972</v>
      </c>
    </row>
    <row r="53" spans="1:10" s="6" customFormat="1" x14ac:dyDescent="0.2">
      <c r="A53" s="6" t="s">
        <v>3</v>
      </c>
      <c r="B53" s="6">
        <f t="shared" ref="B53" si="31">+B48/B41</f>
        <v>5.8823836223757975E-2</v>
      </c>
      <c r="C53" s="6">
        <f t="shared" ref="C53:H53" si="32">+C48/C41</f>
        <v>4.7904860930595261E-2</v>
      </c>
      <c r="D53" s="6">
        <f t="shared" si="32"/>
        <v>6.7977954684629499E-2</v>
      </c>
      <c r="E53" s="6">
        <f t="shared" si="32"/>
        <v>6.8369764317987552E-2</v>
      </c>
      <c r="F53" s="6">
        <f t="shared" si="32"/>
        <v>6.3598152971820976E-2</v>
      </c>
      <c r="G53" s="6">
        <f t="shared" si="32"/>
        <v>6.7337423312883435E-2</v>
      </c>
      <c r="H53" s="6">
        <f t="shared" si="32"/>
        <v>5.9174846625766879E-2</v>
      </c>
    </row>
    <row r="54" spans="1:10" s="6" customFormat="1" x14ac:dyDescent="0.2">
      <c r="A54" s="8" t="s">
        <v>2</v>
      </c>
      <c r="B54" s="9"/>
      <c r="C54" s="9"/>
      <c r="D54" s="9"/>
      <c r="E54" s="9"/>
      <c r="F54" s="9"/>
      <c r="G54" s="9"/>
      <c r="H54" s="9"/>
      <c r="I54" s="9"/>
      <c r="J54" s="9"/>
    </row>
    <row r="55" spans="1:10" s="6" customFormat="1" x14ac:dyDescent="0.2">
      <c r="A55" s="6" t="s">
        <v>1</v>
      </c>
      <c r="B55" s="7">
        <f t="shared" ref="B55" si="33">IF(B42=0,IF(B54="","","*"&amp;TEXT(B54,"0.0x")),(B41+B42-B44)/B47)</f>
        <v>8.5323416618245211</v>
      </c>
      <c r="C55" s="7">
        <f t="shared" ref="C55:H55" si="34">IF(C42=0,IF(C54="","","*"&amp;TEXT(C54,"0.0x")),(C41+C42-C44)/C47)</f>
        <v>8.8917618761274806</v>
      </c>
      <c r="D55" s="7">
        <f t="shared" si="34"/>
        <v>11.193155159613958</v>
      </c>
      <c r="E55" s="7">
        <f t="shared" si="34"/>
        <v>12.135120000000001</v>
      </c>
      <c r="F55" s="7">
        <f t="shared" si="34"/>
        <v>10.371681355932202</v>
      </c>
      <c r="G55" s="7">
        <f t="shared" si="34"/>
        <v>11.118930330752992</v>
      </c>
      <c r="H55" s="7">
        <f t="shared" si="34"/>
        <v>11.791044776119403</v>
      </c>
      <c r="I55" s="7"/>
      <c r="J55" s="7"/>
    </row>
    <row r="57" spans="1:10" ht="80.25" customHeight="1" x14ac:dyDescent="0.2">
      <c r="A57" s="5" t="s">
        <v>0</v>
      </c>
      <c r="B57" s="4" t="s">
        <v>104</v>
      </c>
      <c r="C57" s="4" t="s">
        <v>104</v>
      </c>
      <c r="D57" s="4" t="s">
        <v>104</v>
      </c>
      <c r="E57" s="4" t="s">
        <v>104</v>
      </c>
      <c r="F57" s="4" t="s">
        <v>104</v>
      </c>
      <c r="G57" s="4" t="s">
        <v>494</v>
      </c>
      <c r="H57" s="4" t="s">
        <v>104</v>
      </c>
      <c r="I57" s="4"/>
      <c r="J57" s="4"/>
    </row>
    <row r="58" spans="1:10" x14ac:dyDescent="0.2">
      <c r="A58" s="2"/>
      <c r="B58" s="3"/>
      <c r="C58" s="3"/>
      <c r="D58" s="3"/>
      <c r="E58" s="3"/>
      <c r="F58" s="3"/>
      <c r="G58" s="3"/>
      <c r="H58" s="3"/>
    </row>
    <row r="59" spans="1:10" x14ac:dyDescent="0.2">
      <c r="A59" s="2"/>
    </row>
  </sheetData>
  <pageMargins left="0.7" right="0.7" top="0.75" bottom="0.75" header="0.3" footer="0.3"/>
  <pageSetup orientation="portrait" r:id="rId1"/>
  <ignoredErrors>
    <ignoredError sqref="H49" formulaRange="1"/>
    <ignoredError sqref="H50:H54" evalError="1" formulaRange="1"/>
    <ignoredError sqref="I46:J48 H43:J43 I42:J42 H45:J45 I44:J44 I41:J41 I40:J40 H39:J39 H28:I28 G28 J17:J18 J28:J29 I29 I37:J38 I23 J22:J23" evalError="1"/>
  </ignoredError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2:O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594</v>
      </c>
    </row>
    <row r="3" spans="1:15" s="35" customFormat="1" x14ac:dyDescent="0.2">
      <c r="A3" s="36" t="s">
        <v>43</v>
      </c>
      <c r="B3" s="35" t="s">
        <v>474</v>
      </c>
    </row>
    <row r="4" spans="1:15" x14ac:dyDescent="0.2">
      <c r="A4" s="34" t="s">
        <v>41</v>
      </c>
      <c r="B4" s="1" t="s">
        <v>40</v>
      </c>
    </row>
    <row r="5" spans="1:15" x14ac:dyDescent="0.2">
      <c r="A5" s="34" t="s">
        <v>39</v>
      </c>
    </row>
    <row r="6" spans="1:15" x14ac:dyDescent="0.2">
      <c r="A6" s="34" t="s">
        <v>38</v>
      </c>
      <c r="B6" s="1">
        <v>4</v>
      </c>
    </row>
    <row r="7" spans="1:15" x14ac:dyDescent="0.2">
      <c r="A7" s="34" t="s">
        <v>37</v>
      </c>
      <c r="B7" s="1" t="s">
        <v>476</v>
      </c>
    </row>
    <row r="8" spans="1:15" x14ac:dyDescent="0.2">
      <c r="A8" s="34" t="s">
        <v>281</v>
      </c>
      <c r="B8" s="1" t="s">
        <v>475</v>
      </c>
    </row>
    <row r="9" spans="1:15" x14ac:dyDescent="0.2">
      <c r="A9" s="22"/>
    </row>
    <row r="10" spans="1:15" x14ac:dyDescent="0.2">
      <c r="A10" s="22" t="s">
        <v>36</v>
      </c>
      <c r="B10" s="33">
        <v>44377</v>
      </c>
      <c r="C10" s="33">
        <v>44286</v>
      </c>
      <c r="D10" s="33">
        <v>44196</v>
      </c>
      <c r="E10" s="33">
        <v>44104</v>
      </c>
      <c r="F10" s="33">
        <v>44012</v>
      </c>
      <c r="G10" s="33">
        <v>43921</v>
      </c>
      <c r="H10" s="33">
        <v>43830</v>
      </c>
      <c r="I10" s="33">
        <v>43738</v>
      </c>
      <c r="J10" s="33">
        <f>EOMONTH(I10,-3)</f>
        <v>43646</v>
      </c>
      <c r="K10" s="33">
        <f t="shared" ref="K10:O10" si="0">EOMONTH(J10,-3)</f>
        <v>43555</v>
      </c>
      <c r="L10" s="33">
        <f t="shared" si="0"/>
        <v>43465</v>
      </c>
      <c r="M10" s="33">
        <f t="shared" si="0"/>
        <v>43373</v>
      </c>
      <c r="N10" s="33">
        <f t="shared" si="0"/>
        <v>43281</v>
      </c>
      <c r="O10" s="33">
        <f t="shared" si="0"/>
        <v>43190</v>
      </c>
    </row>
    <row r="12" spans="1:15" x14ac:dyDescent="0.2">
      <c r="A12" s="15" t="s">
        <v>35</v>
      </c>
      <c r="B12" s="19">
        <v>153.69900000000001</v>
      </c>
      <c r="C12" s="19">
        <v>150.79300000000001</v>
      </c>
      <c r="D12" s="19">
        <v>150.48399999999998</v>
      </c>
      <c r="E12" s="19">
        <v>113.086</v>
      </c>
      <c r="F12" s="19">
        <v>106.572</v>
      </c>
      <c r="G12" s="19">
        <v>118.8</v>
      </c>
      <c r="H12" s="19">
        <v>129.71600000000001</v>
      </c>
      <c r="I12" s="19">
        <v>121.961</v>
      </c>
      <c r="J12" s="19">
        <v>116.235</v>
      </c>
      <c r="K12" s="19">
        <v>112.42700000000001</v>
      </c>
      <c r="L12" s="19">
        <v>104.017</v>
      </c>
      <c r="M12" s="19">
        <v>89.521000000000001</v>
      </c>
      <c r="N12" s="19">
        <v>72.34</v>
      </c>
      <c r="O12" s="19">
        <v>57.262999999999998</v>
      </c>
    </row>
    <row r="13" spans="1:15" s="28" customFormat="1" x14ac:dyDescent="0.2">
      <c r="A13" s="28" t="s">
        <v>34</v>
      </c>
      <c r="B13" s="28">
        <f t="shared" ref="B13:I13" si="1">+B12/F12-1</f>
        <v>0.44220808467514927</v>
      </c>
      <c r="C13" s="28">
        <f t="shared" si="1"/>
        <v>0.26930134680134699</v>
      </c>
      <c r="D13" s="28">
        <f t="shared" si="1"/>
        <v>0.16010361096549364</v>
      </c>
      <c r="E13" s="28">
        <f t="shared" si="1"/>
        <v>-7.2769163913054213E-2</v>
      </c>
      <c r="F13" s="28">
        <f t="shared" si="1"/>
        <v>-8.3133307523551414E-2</v>
      </c>
      <c r="G13" s="28">
        <f t="shared" si="1"/>
        <v>5.6685671591343523E-2</v>
      </c>
      <c r="H13" s="28">
        <f t="shared" si="1"/>
        <v>0.24706538354307472</v>
      </c>
      <c r="I13" s="28">
        <f t="shared" si="1"/>
        <v>0.3623730744741458</v>
      </c>
      <c r="J13" s="28">
        <f t="shared" ref="J13:K13" si="2">+J12/N12-1</f>
        <v>0.60678739286701688</v>
      </c>
      <c r="K13" s="28">
        <f t="shared" si="2"/>
        <v>0.96334456804568402</v>
      </c>
    </row>
    <row r="14" spans="1:15" s="23" customFormat="1" x14ac:dyDescent="0.2">
      <c r="A14" s="31" t="s">
        <v>33</v>
      </c>
      <c r="B14" s="32" t="s">
        <v>32</v>
      </c>
      <c r="C14" s="32" t="s">
        <v>32</v>
      </c>
      <c r="D14" s="32" t="s">
        <v>32</v>
      </c>
      <c r="E14" s="32" t="s">
        <v>32</v>
      </c>
      <c r="F14" s="32" t="s">
        <v>32</v>
      </c>
      <c r="G14" s="32" t="s">
        <v>32</v>
      </c>
      <c r="H14" s="32" t="s">
        <v>32</v>
      </c>
      <c r="I14" s="32" t="s">
        <v>32</v>
      </c>
      <c r="J14" s="32" t="s">
        <v>32</v>
      </c>
      <c r="K14" s="32" t="s">
        <v>32</v>
      </c>
      <c r="L14" s="32"/>
      <c r="M14" s="31"/>
      <c r="N14" s="31"/>
      <c r="O14" s="31"/>
    </row>
    <row r="16" spans="1:15" s="22" customFormat="1" x14ac:dyDescent="0.2">
      <c r="A16" s="30" t="s">
        <v>31</v>
      </c>
      <c r="B16" s="29">
        <v>107.321</v>
      </c>
      <c r="C16" s="29">
        <v>114.645</v>
      </c>
      <c r="D16" s="29">
        <v>113.37399999999994</v>
      </c>
      <c r="E16" s="29">
        <v>86.935000000000002</v>
      </c>
      <c r="F16" s="29">
        <v>82.284000000000006</v>
      </c>
      <c r="G16" s="29">
        <v>98.856999999999999</v>
      </c>
      <c r="H16" s="29">
        <v>102.72600000000006</v>
      </c>
      <c r="I16" s="29">
        <v>91.308999999999997</v>
      </c>
      <c r="J16" s="29">
        <v>87.94</v>
      </c>
      <c r="K16" s="29">
        <v>85.402000000000001</v>
      </c>
      <c r="L16" s="29">
        <v>125.18099999999998</v>
      </c>
      <c r="M16" s="29">
        <v>67.069000000000003</v>
      </c>
      <c r="N16" s="29">
        <v>53.58</v>
      </c>
      <c r="O16" s="29">
        <v>37.984000000000002</v>
      </c>
    </row>
    <row r="17" spans="1:15" s="28" customFormat="1" x14ac:dyDescent="0.2">
      <c r="A17" s="28" t="s">
        <v>30</v>
      </c>
      <c r="B17" s="28">
        <f t="shared" ref="B17" si="3">+B16/B12</f>
        <v>0.69825438031477105</v>
      </c>
      <c r="C17" s="28">
        <f t="shared" ref="C17:I17" si="4">+C16/C12</f>
        <v>0.76028064963227726</v>
      </c>
      <c r="D17" s="28">
        <f t="shared" si="4"/>
        <v>0.7533957098429066</v>
      </c>
      <c r="E17" s="28">
        <f t="shared" si="4"/>
        <v>0.76875121588879258</v>
      </c>
      <c r="F17" s="28">
        <f t="shared" si="4"/>
        <v>0.77209773674135795</v>
      </c>
      <c r="G17" s="28">
        <f t="shared" si="4"/>
        <v>0.83212962962962966</v>
      </c>
      <c r="H17" s="28">
        <f t="shared" si="4"/>
        <v>0.79193006259829202</v>
      </c>
      <c r="I17" s="28">
        <f t="shared" si="4"/>
        <v>0.74867375636473954</v>
      </c>
      <c r="J17" s="28">
        <f t="shared" ref="J17:O17" si="5">+J16/J12</f>
        <v>0.75657074031057769</v>
      </c>
      <c r="K17" s="28">
        <f t="shared" si="5"/>
        <v>0.75962179903403981</v>
      </c>
      <c r="L17" s="28">
        <f t="shared" si="5"/>
        <v>1.2034667410134881</v>
      </c>
      <c r="M17" s="28">
        <f t="shared" si="5"/>
        <v>0.74919851208096422</v>
      </c>
      <c r="N17" s="28">
        <f t="shared" si="5"/>
        <v>0.74066906275919264</v>
      </c>
      <c r="O17" s="28">
        <f t="shared" si="5"/>
        <v>0.66332535843389284</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row>
    <row r="20" spans="1:1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row>
    <row r="21" spans="1:1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row>
    <row r="22" spans="1:15" s="22" customFormat="1" x14ac:dyDescent="0.2">
      <c r="A22" s="22" t="s">
        <v>23</v>
      </c>
      <c r="B22" s="20">
        <f t="shared" ref="B22" si="6">SUM(B16,B19:B21)</f>
        <v>107.321</v>
      </c>
      <c r="C22" s="20">
        <f t="shared" ref="C22:I22" si="7">SUM(C16,C19:C21)</f>
        <v>114.645</v>
      </c>
      <c r="D22" s="20">
        <f t="shared" si="7"/>
        <v>113.37399999999994</v>
      </c>
      <c r="E22" s="20">
        <f t="shared" si="7"/>
        <v>86.935000000000002</v>
      </c>
      <c r="F22" s="20">
        <f t="shared" si="7"/>
        <v>82.284000000000006</v>
      </c>
      <c r="G22" s="20">
        <f t="shared" si="7"/>
        <v>98.856999999999999</v>
      </c>
      <c r="H22" s="20">
        <f t="shared" si="7"/>
        <v>102.72600000000006</v>
      </c>
      <c r="I22" s="20">
        <f t="shared" si="7"/>
        <v>91.308999999999997</v>
      </c>
      <c r="J22" s="20">
        <f t="shared" ref="J22:O22" si="8">SUM(J16,J19:J21)</f>
        <v>87.94</v>
      </c>
      <c r="K22" s="20">
        <f t="shared" si="8"/>
        <v>85.402000000000001</v>
      </c>
      <c r="L22" s="20">
        <f t="shared" si="8"/>
        <v>125.18099999999998</v>
      </c>
      <c r="M22" s="20">
        <f t="shared" si="8"/>
        <v>67.069000000000003</v>
      </c>
      <c r="N22" s="20">
        <f t="shared" si="8"/>
        <v>53.58</v>
      </c>
      <c r="O22" s="20">
        <f t="shared" si="8"/>
        <v>37.984000000000002</v>
      </c>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63">
        <f>SUM(B22:E22)</f>
        <v>422.27499999999992</v>
      </c>
      <c r="C24" s="63">
        <f>SUM(C22:F22)</f>
        <v>397.23799999999994</v>
      </c>
      <c r="D24" s="63">
        <f>SUM(D22:G22)</f>
        <v>381.44999999999993</v>
      </c>
      <c r="E24" s="63">
        <f>SUM(E22:H22)</f>
        <v>370.80200000000008</v>
      </c>
      <c r="F24" s="63">
        <f>SUM(F22:I22)</f>
        <v>375.17600000000004</v>
      </c>
      <c r="G24" s="61">
        <v>388.11500000000001</v>
      </c>
      <c r="H24" s="61">
        <v>367.37700000000001</v>
      </c>
      <c r="I24" s="61">
        <v>357.005</v>
      </c>
      <c r="J24" s="61">
        <v>345.29500000000002</v>
      </c>
      <c r="K24" s="61">
        <v>307.21300000000002</v>
      </c>
      <c r="L24" s="61">
        <v>283.81400000000002</v>
      </c>
      <c r="M24" s="20"/>
      <c r="N24" s="20"/>
      <c r="O24" s="20"/>
    </row>
    <row r="25" spans="1:15" s="23" customFormat="1" x14ac:dyDescent="0.2">
      <c r="A25" s="15" t="s">
        <v>26</v>
      </c>
      <c r="B25" s="27">
        <f>488.178-B24</f>
        <v>65.903000000000077</v>
      </c>
      <c r="C25" s="27">
        <f>404.904-C24</f>
        <v>7.6660000000000537</v>
      </c>
      <c r="D25" s="27">
        <f>381.45-D24</f>
        <v>0</v>
      </c>
      <c r="E25" s="27">
        <f>368.999-E24</f>
        <v>-1.8030000000000541</v>
      </c>
      <c r="F25" s="27">
        <v>0</v>
      </c>
      <c r="G25" s="27">
        <v>0</v>
      </c>
      <c r="H25" s="27">
        <v>0</v>
      </c>
      <c r="I25" s="27">
        <v>0</v>
      </c>
      <c r="J25" s="27">
        <v>0</v>
      </c>
      <c r="K25" s="27">
        <v>0</v>
      </c>
      <c r="L25" s="27">
        <v>0</v>
      </c>
      <c r="M25" s="27"/>
      <c r="N25" s="27"/>
      <c r="O25" s="27"/>
    </row>
    <row r="26" spans="1:15" s="23" customFormat="1" x14ac:dyDescent="0.2">
      <c r="A26" s="15" t="s">
        <v>25</v>
      </c>
      <c r="B26" s="21">
        <v>0</v>
      </c>
      <c r="C26" s="21">
        <v>0</v>
      </c>
      <c r="D26" s="21">
        <v>0</v>
      </c>
      <c r="E26" s="21">
        <v>0</v>
      </c>
      <c r="F26" s="21">
        <v>0</v>
      </c>
      <c r="G26" s="21">
        <v>0</v>
      </c>
      <c r="H26" s="21">
        <v>0</v>
      </c>
      <c r="I26" s="21">
        <v>0</v>
      </c>
      <c r="J26" s="21">
        <v>0</v>
      </c>
      <c r="K26" s="21">
        <v>0</v>
      </c>
      <c r="L26" s="21">
        <v>0</v>
      </c>
      <c r="M26" s="21"/>
      <c r="N26" s="26"/>
      <c r="O26" s="26"/>
    </row>
    <row r="27" spans="1:15" s="24" customFormat="1" x14ac:dyDescent="0.2">
      <c r="A27" s="22" t="s">
        <v>24</v>
      </c>
      <c r="B27" s="20">
        <f t="shared" ref="B27" si="9">SUM(B24:B26)</f>
        <v>488.178</v>
      </c>
      <c r="C27" s="20">
        <f t="shared" ref="C27:I27" si="10">SUM(C24:C26)</f>
        <v>404.904</v>
      </c>
      <c r="D27" s="20">
        <f t="shared" si="10"/>
        <v>381.44999999999993</v>
      </c>
      <c r="E27" s="20">
        <f t="shared" si="10"/>
        <v>368.99900000000002</v>
      </c>
      <c r="F27" s="20">
        <f t="shared" si="10"/>
        <v>375.17600000000004</v>
      </c>
      <c r="G27" s="20">
        <f t="shared" si="10"/>
        <v>388.11500000000001</v>
      </c>
      <c r="H27" s="20">
        <f t="shared" si="10"/>
        <v>367.37700000000001</v>
      </c>
      <c r="I27" s="20">
        <f t="shared" si="10"/>
        <v>357.005</v>
      </c>
      <c r="J27" s="20">
        <f t="shared" ref="J27:L27" si="11">SUM(J24:J26)</f>
        <v>345.29500000000002</v>
      </c>
      <c r="K27" s="20">
        <f t="shared" si="11"/>
        <v>307.21300000000002</v>
      </c>
      <c r="L27" s="20">
        <f t="shared" si="11"/>
        <v>283.81400000000002</v>
      </c>
      <c r="M27" s="20"/>
      <c r="N27" s="25"/>
      <c r="O27" s="25"/>
    </row>
    <row r="28" spans="1:15" s="23" customFormat="1" x14ac:dyDescent="0.2"/>
    <row r="29" spans="1:15" s="22" customFormat="1" x14ac:dyDescent="0.2">
      <c r="A29" s="22" t="s">
        <v>23</v>
      </c>
      <c r="B29" s="20">
        <f t="shared" ref="B29:C29" si="12">B22</f>
        <v>107.321</v>
      </c>
      <c r="C29" s="20">
        <f t="shared" si="12"/>
        <v>114.645</v>
      </c>
      <c r="D29" s="20">
        <f t="shared" ref="D29:E29" si="13">D22</f>
        <v>113.37399999999994</v>
      </c>
      <c r="E29" s="20">
        <f t="shared" si="13"/>
        <v>86.935000000000002</v>
      </c>
      <c r="F29" s="20">
        <f t="shared" ref="F29:G29" si="14">F22</f>
        <v>82.284000000000006</v>
      </c>
      <c r="G29" s="20">
        <f t="shared" si="14"/>
        <v>98.856999999999999</v>
      </c>
      <c r="H29" s="20">
        <f t="shared" ref="H29" si="15">H22</f>
        <v>102.72600000000006</v>
      </c>
      <c r="I29" s="20">
        <f t="shared" ref="I29:O29" si="16">I22</f>
        <v>91.308999999999997</v>
      </c>
      <c r="J29" s="20">
        <f t="shared" si="16"/>
        <v>87.94</v>
      </c>
      <c r="K29" s="20">
        <f t="shared" si="16"/>
        <v>85.402000000000001</v>
      </c>
      <c r="L29" s="20">
        <f t="shared" si="16"/>
        <v>125.18099999999998</v>
      </c>
      <c r="M29" s="20">
        <f t="shared" si="16"/>
        <v>67.069000000000003</v>
      </c>
      <c r="N29" s="20">
        <f t="shared" si="16"/>
        <v>53.58</v>
      </c>
      <c r="O29" s="20">
        <f t="shared" si="16"/>
        <v>37.984000000000002</v>
      </c>
    </row>
    <row r="30" spans="1:15" s="11" customFormat="1" x14ac:dyDescent="0.2">
      <c r="A30" s="19" t="s">
        <v>22</v>
      </c>
      <c r="B30" s="19">
        <v>-19.977</v>
      </c>
      <c r="C30" s="19">
        <v>-20.966999999999999</v>
      </c>
      <c r="D30" s="19">
        <v>-23.564999999999984</v>
      </c>
      <c r="E30" s="19">
        <v>-23.088000000000001</v>
      </c>
      <c r="F30" s="19">
        <v>-21.693000000000001</v>
      </c>
      <c r="G30" s="19">
        <v>-23.542999999999999</v>
      </c>
      <c r="H30" s="19">
        <v>-32.178999999999988</v>
      </c>
      <c r="I30" s="19">
        <v>-28.841000000000001</v>
      </c>
      <c r="J30" s="19">
        <v>-29.533000000000001</v>
      </c>
      <c r="K30" s="19">
        <v>-30.163999999999998</v>
      </c>
      <c r="L30" s="19">
        <v>-31.296999999999997</v>
      </c>
      <c r="M30" s="19">
        <v>-26.899000000000001</v>
      </c>
      <c r="N30" s="19">
        <v>-21.877000000000002</v>
      </c>
      <c r="O30" s="19">
        <v>-17.356000000000002</v>
      </c>
    </row>
    <row r="31" spans="1:15" s="11" customFormat="1" x14ac:dyDescent="0.2">
      <c r="A31" s="19" t="s">
        <v>21</v>
      </c>
      <c r="B31" s="19">
        <v>-9.8190000000000008</v>
      </c>
      <c r="C31" s="19">
        <v>-6.0049999999999999</v>
      </c>
      <c r="D31" s="19">
        <v>-7.5390000000000015</v>
      </c>
      <c r="E31" s="19">
        <v>-8.1159999999999997</v>
      </c>
      <c r="F31" s="19">
        <v>-6.0350000000000001</v>
      </c>
      <c r="G31" s="19">
        <v>-5.0839999999999996</v>
      </c>
      <c r="H31" s="19">
        <v>-10.528999999999998</v>
      </c>
      <c r="I31" s="19">
        <v>1.577</v>
      </c>
      <c r="J31" s="19">
        <v>-5.7960000000000003</v>
      </c>
      <c r="K31" s="19">
        <v>-3.99</v>
      </c>
      <c r="L31" s="19">
        <v>4.0600000000000005</v>
      </c>
      <c r="M31" s="19">
        <v>-5.23</v>
      </c>
      <c r="N31" s="19">
        <v>-4.0010000000000003</v>
      </c>
      <c r="O31" s="19">
        <v>-2.2170000000000001</v>
      </c>
    </row>
    <row r="32" spans="1:15" s="11" customFormat="1" x14ac:dyDescent="0.2">
      <c r="A32" s="19" t="s">
        <v>20</v>
      </c>
      <c r="B32" s="19">
        <v>-68.048000000000002</v>
      </c>
      <c r="C32" s="19">
        <v>45.173999999999999</v>
      </c>
      <c r="D32" s="19">
        <v>-16.571999999999999</v>
      </c>
      <c r="E32" s="19">
        <v>3.8150000000000017</v>
      </c>
      <c r="F32" s="19">
        <v>-12.806000000000001</v>
      </c>
      <c r="G32" s="19">
        <v>0.10500000000000043</v>
      </c>
      <c r="H32" s="19">
        <v>14.517000000000003</v>
      </c>
      <c r="I32" s="19">
        <v>-30.048999999999999</v>
      </c>
      <c r="J32" s="19">
        <v>41.383000000000003</v>
      </c>
      <c r="K32" s="19">
        <v>-13.328000000000001</v>
      </c>
      <c r="L32" s="19">
        <v>-26.535000000000004</v>
      </c>
      <c r="M32" s="19">
        <v>-2.1980000000000008</v>
      </c>
      <c r="N32" s="19">
        <v>4.9790000000000001</v>
      </c>
      <c r="O32" s="19">
        <v>-1.6480000000000004</v>
      </c>
    </row>
    <row r="33" spans="1:15"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row>
    <row r="34" spans="1:15"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row>
    <row r="35" spans="1:15" s="20" customFormat="1" x14ac:dyDescent="0.2">
      <c r="A35" s="20" t="s">
        <v>17</v>
      </c>
      <c r="B35" s="20">
        <v>26.513000000000002</v>
      </c>
      <c r="C35" s="20">
        <v>164.874</v>
      </c>
      <c r="D35" s="20">
        <v>96.015999999999991</v>
      </c>
      <c r="E35" s="20">
        <v>63.896000000000001</v>
      </c>
      <c r="F35" s="20">
        <v>49.569000000000003</v>
      </c>
      <c r="G35" s="20">
        <v>71.944999999999993</v>
      </c>
      <c r="H35" s="20">
        <v>73.414000000000016</v>
      </c>
      <c r="I35" s="20">
        <v>35.954999999999998</v>
      </c>
      <c r="J35" s="20">
        <v>96.715000000000003</v>
      </c>
      <c r="K35" s="20">
        <v>43.771000000000001</v>
      </c>
      <c r="L35" s="20">
        <v>28.192999999999998</v>
      </c>
      <c r="M35" s="20">
        <v>36.808</v>
      </c>
      <c r="N35" s="20">
        <v>35.838999999999999</v>
      </c>
      <c r="O35" s="20">
        <v>21.645</v>
      </c>
    </row>
    <row r="36" spans="1:15" s="11" customFormat="1" x14ac:dyDescent="0.2">
      <c r="A36" s="19" t="s">
        <v>16</v>
      </c>
      <c r="B36" s="21">
        <v>-0.12</v>
      </c>
      <c r="C36" s="21">
        <v>-0.20799999999999999</v>
      </c>
      <c r="D36" s="21">
        <v>-2.3729999999999993</v>
      </c>
      <c r="E36" s="21">
        <v>-1.621</v>
      </c>
      <c r="F36" s="21">
        <v>-4.0279999999999996</v>
      </c>
      <c r="G36" s="21">
        <v>-4.3010000000000002</v>
      </c>
      <c r="H36" s="21">
        <v>-3.0010000000000003</v>
      </c>
      <c r="I36" s="21">
        <v>-2.8450000000000002</v>
      </c>
      <c r="J36" s="21">
        <v>-0.185</v>
      </c>
      <c r="K36" s="21">
        <v>-0.35299999999999998</v>
      </c>
      <c r="L36" s="21">
        <v>-0.16600000000000001</v>
      </c>
      <c r="M36" s="21">
        <v>-2.3E-2</v>
      </c>
      <c r="N36" s="21">
        <v>-0.08</v>
      </c>
      <c r="O36" s="21">
        <v>-5.2999999999999999E-2</v>
      </c>
    </row>
    <row r="37" spans="1:15" s="20" customFormat="1" x14ac:dyDescent="0.2">
      <c r="A37" s="20" t="s">
        <v>15</v>
      </c>
      <c r="B37" s="20">
        <f t="shared" ref="B37:I37" si="17">+B35+B36</f>
        <v>26.393000000000001</v>
      </c>
      <c r="C37" s="20">
        <f t="shared" si="17"/>
        <v>164.666</v>
      </c>
      <c r="D37" s="20">
        <f t="shared" si="17"/>
        <v>93.642999999999986</v>
      </c>
      <c r="E37" s="20">
        <f t="shared" si="17"/>
        <v>62.274999999999999</v>
      </c>
      <c r="F37" s="20">
        <f t="shared" si="17"/>
        <v>45.541000000000004</v>
      </c>
      <c r="G37" s="20">
        <f t="shared" si="17"/>
        <v>67.643999999999991</v>
      </c>
      <c r="H37" s="20">
        <f t="shared" si="17"/>
        <v>70.413000000000011</v>
      </c>
      <c r="I37" s="20">
        <f t="shared" si="17"/>
        <v>33.11</v>
      </c>
      <c r="J37" s="20">
        <f t="shared" ref="J37:O37" si="18">+J35+J36</f>
        <v>96.53</v>
      </c>
      <c r="K37" s="20">
        <f t="shared" si="18"/>
        <v>43.417999999999999</v>
      </c>
      <c r="L37" s="20">
        <f t="shared" si="18"/>
        <v>28.026999999999997</v>
      </c>
      <c r="M37" s="20">
        <f t="shared" si="18"/>
        <v>36.784999999999997</v>
      </c>
      <c r="N37" s="20">
        <f t="shared" si="18"/>
        <v>35.759</v>
      </c>
      <c r="O37" s="20">
        <f t="shared" si="18"/>
        <v>21.591999999999999</v>
      </c>
    </row>
    <row r="39" spans="1:15" s="16" customFormat="1" x14ac:dyDescent="0.2">
      <c r="A39" s="18" t="s">
        <v>14</v>
      </c>
      <c r="B39" s="19">
        <v>0</v>
      </c>
      <c r="C39" s="19">
        <v>0</v>
      </c>
      <c r="D39" s="19">
        <v>0</v>
      </c>
      <c r="E39" s="19">
        <v>0</v>
      </c>
      <c r="F39" s="19">
        <v>0</v>
      </c>
      <c r="G39" s="19">
        <v>99.314999999999998</v>
      </c>
      <c r="H39" s="19">
        <v>0</v>
      </c>
      <c r="I39" s="19">
        <v>0</v>
      </c>
      <c r="J39" s="19"/>
      <c r="K39" s="19"/>
      <c r="L39" s="19"/>
      <c r="M39" s="19"/>
      <c r="N39" s="19"/>
      <c r="O39" s="19"/>
    </row>
    <row r="40" spans="1:15" s="16" customFormat="1" x14ac:dyDescent="0.2">
      <c r="A40" s="18" t="s">
        <v>13</v>
      </c>
      <c r="B40" s="19">
        <v>1723.405</v>
      </c>
      <c r="C40" s="19">
        <v>1795.905</v>
      </c>
      <c r="D40" s="19">
        <v>1796.405</v>
      </c>
      <c r="E40" s="19">
        <v>1801.0319999999999</v>
      </c>
      <c r="F40" s="19">
        <v>1602.191</v>
      </c>
      <c r="G40" s="19">
        <v>1602.191</v>
      </c>
      <c r="H40" s="19">
        <v>1602</v>
      </c>
      <c r="I40" s="19">
        <v>1602</v>
      </c>
      <c r="J40" s="19"/>
      <c r="K40" s="19"/>
      <c r="L40" s="19"/>
      <c r="M40" s="19"/>
      <c r="N40" s="19"/>
      <c r="O40" s="19"/>
    </row>
    <row r="41" spans="1:15" s="16" customFormat="1" x14ac:dyDescent="0.2">
      <c r="A41" s="18" t="s">
        <v>12</v>
      </c>
      <c r="B41" s="19">
        <f t="shared" ref="B41:I41" si="19">B39+B40</f>
        <v>1723.405</v>
      </c>
      <c r="C41" s="19">
        <f t="shared" si="19"/>
        <v>1795.905</v>
      </c>
      <c r="D41" s="19">
        <f t="shared" si="19"/>
        <v>1796.405</v>
      </c>
      <c r="E41" s="19">
        <f t="shared" si="19"/>
        <v>1801.0319999999999</v>
      </c>
      <c r="F41" s="19">
        <f t="shared" si="19"/>
        <v>1602.191</v>
      </c>
      <c r="G41" s="19">
        <f t="shared" si="19"/>
        <v>1701.5060000000001</v>
      </c>
      <c r="H41" s="19">
        <f t="shared" si="19"/>
        <v>1602</v>
      </c>
      <c r="I41" s="19">
        <f t="shared" si="19"/>
        <v>1602</v>
      </c>
      <c r="J41" s="19"/>
      <c r="K41" s="19"/>
      <c r="L41" s="19"/>
      <c r="M41" s="19"/>
      <c r="N41" s="19"/>
      <c r="O41" s="19"/>
    </row>
    <row r="42" spans="1:15" s="16" customFormat="1" x14ac:dyDescent="0.2">
      <c r="A42" s="18" t="s">
        <v>11</v>
      </c>
      <c r="B42" s="17">
        <v>2553.5230000000001</v>
      </c>
      <c r="C42" s="17">
        <v>2553.5230000000001</v>
      </c>
      <c r="D42" s="17">
        <v>2553.5230000000001</v>
      </c>
      <c r="E42" s="17">
        <v>2553.5230000000001</v>
      </c>
      <c r="F42" s="17">
        <v>2553.5230000000001</v>
      </c>
      <c r="G42" s="17">
        <v>2553.5230000000001</v>
      </c>
      <c r="H42" s="17">
        <v>2553.5230000000001</v>
      </c>
      <c r="I42" s="17">
        <v>2553.5230000000001</v>
      </c>
      <c r="J42" s="17"/>
      <c r="K42" s="17"/>
      <c r="L42" s="17"/>
      <c r="M42" s="17"/>
      <c r="N42" s="17"/>
      <c r="O42" s="17"/>
    </row>
    <row r="43" spans="1:15" x14ac:dyDescent="0.2">
      <c r="B43" s="16"/>
      <c r="C43" s="16"/>
      <c r="D43" s="16"/>
      <c r="E43" s="16"/>
      <c r="F43" s="16"/>
      <c r="G43" s="16"/>
      <c r="H43" s="16"/>
      <c r="I43" s="16"/>
      <c r="J43" s="16"/>
      <c r="K43" s="16"/>
    </row>
    <row r="44" spans="1:15" x14ac:dyDescent="0.2">
      <c r="A44" s="15" t="s">
        <v>10</v>
      </c>
      <c r="B44" s="27">
        <v>281.71899999999999</v>
      </c>
      <c r="C44" s="27">
        <v>450.88799999999998</v>
      </c>
      <c r="D44" s="27">
        <v>252.72200000000001</v>
      </c>
      <c r="E44" s="27">
        <v>244.96299999999999</v>
      </c>
      <c r="F44" s="27">
        <v>104.434</v>
      </c>
      <c r="G44" s="27">
        <v>167.53399999999999</v>
      </c>
      <c r="H44" s="27">
        <v>107</v>
      </c>
      <c r="I44" s="27">
        <v>107</v>
      </c>
      <c r="J44" s="27"/>
      <c r="K44" s="27"/>
      <c r="L44" s="27"/>
      <c r="M44" s="27"/>
      <c r="N44" s="27"/>
      <c r="O44" s="14"/>
    </row>
    <row r="46" spans="1:15" x14ac:dyDescent="0.2">
      <c r="A46" s="1" t="s">
        <v>9</v>
      </c>
      <c r="B46" s="13">
        <f t="shared" ref="B46:G46" si="20">C46+B12-F12</f>
        <v>589.32299999999998</v>
      </c>
      <c r="C46" s="13">
        <f t="shared" si="20"/>
        <v>542.19599999999991</v>
      </c>
      <c r="D46" s="13">
        <f t="shared" si="20"/>
        <v>510.20299999999986</v>
      </c>
      <c r="E46" s="13">
        <f t="shared" si="20"/>
        <v>489.43499999999995</v>
      </c>
      <c r="F46" s="13">
        <f t="shared" si="20"/>
        <v>498.30999999999995</v>
      </c>
      <c r="G46" s="13">
        <f t="shared" si="20"/>
        <v>507.97299999999996</v>
      </c>
      <c r="H46" s="12">
        <v>501.6</v>
      </c>
      <c r="I46" s="12">
        <v>476</v>
      </c>
      <c r="J46" s="11"/>
      <c r="K46" s="11"/>
      <c r="L46" s="11"/>
      <c r="M46" s="11"/>
    </row>
    <row r="47" spans="1:15" x14ac:dyDescent="0.2">
      <c r="A47" s="1" t="s">
        <v>8</v>
      </c>
      <c r="B47" s="13">
        <f t="shared" ref="B47" si="21">B27</f>
        <v>488.178</v>
      </c>
      <c r="C47" s="13">
        <f t="shared" ref="C47:I47" si="22">C27</f>
        <v>404.904</v>
      </c>
      <c r="D47" s="13">
        <f t="shared" si="22"/>
        <v>381.44999999999993</v>
      </c>
      <c r="E47" s="13">
        <f t="shared" si="22"/>
        <v>368.99900000000002</v>
      </c>
      <c r="F47" s="13">
        <f t="shared" si="22"/>
        <v>375.17600000000004</v>
      </c>
      <c r="G47" s="13">
        <f t="shared" si="22"/>
        <v>388.11500000000001</v>
      </c>
      <c r="H47" s="13">
        <f t="shared" si="22"/>
        <v>367.37700000000001</v>
      </c>
      <c r="I47" s="13">
        <f t="shared" si="22"/>
        <v>357.005</v>
      </c>
      <c r="J47" s="11"/>
      <c r="K47" s="11"/>
      <c r="L47" s="11"/>
      <c r="M47" s="11"/>
    </row>
    <row r="48" spans="1:15" x14ac:dyDescent="0.2">
      <c r="A48" s="1" t="s">
        <v>7</v>
      </c>
      <c r="B48" s="13">
        <f t="shared" ref="B48:H48" si="23">SUM(B37:E37)</f>
        <v>346.97699999999998</v>
      </c>
      <c r="C48" s="13">
        <f t="shared" si="23"/>
        <v>366.12499999999994</v>
      </c>
      <c r="D48" s="13">
        <f t="shared" si="23"/>
        <v>269.10299999999995</v>
      </c>
      <c r="E48" s="13">
        <f t="shared" si="23"/>
        <v>245.87299999999999</v>
      </c>
      <c r="F48" s="13">
        <f t="shared" si="23"/>
        <v>216.70800000000003</v>
      </c>
      <c r="G48" s="13">
        <f t="shared" si="23"/>
        <v>267.697</v>
      </c>
      <c r="H48" s="13">
        <f t="shared" si="23"/>
        <v>243.471</v>
      </c>
      <c r="I48" s="12">
        <v>179.51752499999998</v>
      </c>
      <c r="J48" s="11"/>
      <c r="K48" s="11"/>
      <c r="L48" s="11"/>
      <c r="M48" s="11"/>
    </row>
    <row r="50" spans="1:15" s="10" customFormat="1" x14ac:dyDescent="0.2">
      <c r="A50" s="10" t="s">
        <v>6</v>
      </c>
      <c r="B50" s="10">
        <f t="shared" ref="B50:C50" si="24">+SUM(B39:B40)/B47</f>
        <v>3.5302799388747546</v>
      </c>
      <c r="C50" s="10">
        <f t="shared" si="24"/>
        <v>4.4353846837768955</v>
      </c>
      <c r="D50" s="10">
        <f t="shared" ref="D50" si="25">+SUM(D39:D40)/D47</f>
        <v>4.7094114562852285</v>
      </c>
      <c r="E50" s="10">
        <f t="shared" ref="E50:I50" si="26">+SUM(E39:E40)/E47</f>
        <v>4.8808587557147849</v>
      </c>
      <c r="F50" s="10">
        <f t="shared" si="26"/>
        <v>4.2705050429665006</v>
      </c>
      <c r="G50" s="10">
        <f t="shared" si="26"/>
        <v>4.3840253533102302</v>
      </c>
      <c r="H50" s="10">
        <f t="shared" si="26"/>
        <v>4.3606431540352277</v>
      </c>
      <c r="I50" s="10">
        <f t="shared" si="26"/>
        <v>4.4873321101945347</v>
      </c>
    </row>
    <row r="51" spans="1:15" s="10" customFormat="1" x14ac:dyDescent="0.2">
      <c r="A51" s="10" t="s">
        <v>5</v>
      </c>
      <c r="B51" s="10">
        <f t="shared" ref="B51:C51" si="27">+B41/B47</f>
        <v>3.5302799388747546</v>
      </c>
      <c r="C51" s="10">
        <f t="shared" si="27"/>
        <v>4.4353846837768955</v>
      </c>
      <c r="D51" s="10">
        <f t="shared" ref="D51" si="28">+D41/D47</f>
        <v>4.7094114562852285</v>
      </c>
      <c r="E51" s="10">
        <f t="shared" ref="E51:I51" si="29">+E41/E47</f>
        <v>4.8808587557147849</v>
      </c>
      <c r="F51" s="10">
        <f t="shared" si="29"/>
        <v>4.2705050429665006</v>
      </c>
      <c r="G51" s="10">
        <f t="shared" si="29"/>
        <v>4.3840253533102302</v>
      </c>
      <c r="H51" s="10">
        <f t="shared" si="29"/>
        <v>4.3606431540352277</v>
      </c>
      <c r="I51" s="10">
        <f t="shared" si="29"/>
        <v>4.4873321101945347</v>
      </c>
    </row>
    <row r="52" spans="1:15" s="10" customFormat="1" x14ac:dyDescent="0.2">
      <c r="A52" s="10" t="s">
        <v>4</v>
      </c>
      <c r="B52" s="10">
        <f t="shared" ref="B52:C52" si="30">+(B41-B44)/B47</f>
        <v>2.9531973993092682</v>
      </c>
      <c r="C52" s="10">
        <f t="shared" si="30"/>
        <v>3.3218170232944106</v>
      </c>
      <c r="D52" s="10">
        <f t="shared" ref="D52" si="31">+(D41-D44)/D47</f>
        <v>4.0468816358631541</v>
      </c>
      <c r="E52" s="10">
        <f t="shared" ref="E52:I52" si="32">+(E41-E44)/E47</f>
        <v>4.2170005880774744</v>
      </c>
      <c r="F52" s="10">
        <f t="shared" si="32"/>
        <v>3.992145019937309</v>
      </c>
      <c r="G52" s="10">
        <f t="shared" si="32"/>
        <v>3.9523646341934739</v>
      </c>
      <c r="H52" s="10">
        <f t="shared" si="32"/>
        <v>4.0693892105384935</v>
      </c>
      <c r="I52" s="10">
        <f t="shared" si="32"/>
        <v>4.1876164199380961</v>
      </c>
    </row>
    <row r="53" spans="1:15" s="6" customFormat="1" x14ac:dyDescent="0.2">
      <c r="A53" s="6" t="s">
        <v>3</v>
      </c>
      <c r="B53" s="6">
        <f t="shared" ref="B53:C53" si="33">+B48/B41</f>
        <v>0.20133224633791824</v>
      </c>
      <c r="C53" s="6">
        <f t="shared" si="33"/>
        <v>0.20386657423416046</v>
      </c>
      <c r="D53" s="6">
        <f t="shared" ref="D53" si="34">+D48/D41</f>
        <v>0.14980085225770357</v>
      </c>
      <c r="E53" s="6">
        <f t="shared" ref="E53:I53" si="35">+E48/E41</f>
        <v>0.13651784088233856</v>
      </c>
      <c r="F53" s="6">
        <f t="shared" si="35"/>
        <v>0.13525728205937995</v>
      </c>
      <c r="G53" s="6">
        <f t="shared" si="35"/>
        <v>0.15732944814769972</v>
      </c>
      <c r="H53" s="6">
        <f t="shared" si="35"/>
        <v>0.15197940074906366</v>
      </c>
      <c r="I53" s="6">
        <f t="shared" si="35"/>
        <v>0.11205838014981272</v>
      </c>
    </row>
    <row r="54" spans="1:15" s="6" customFormat="1" x14ac:dyDescent="0.2">
      <c r="A54" s="8" t="s">
        <v>2</v>
      </c>
      <c r="B54" s="9"/>
      <c r="C54" s="9"/>
      <c r="D54" s="9"/>
      <c r="E54" s="9"/>
      <c r="F54" s="9"/>
      <c r="G54" s="9"/>
      <c r="H54" s="9"/>
      <c r="I54" s="9"/>
      <c r="J54" s="9"/>
      <c r="K54" s="9"/>
      <c r="L54" s="9"/>
      <c r="M54" s="9"/>
      <c r="N54" s="8"/>
      <c r="O54" s="8"/>
    </row>
    <row r="55" spans="1:15" s="6" customFormat="1" x14ac:dyDescent="0.2">
      <c r="A55" s="6" t="s">
        <v>1</v>
      </c>
      <c r="B55" s="7">
        <f t="shared" ref="B55:C55" si="36">IF(B42=0,IF(B54="","","*"&amp;TEXT(B54,"0.0x")),(B41+B42-B44)/B47)</f>
        <v>8.1839185706852824</v>
      </c>
      <c r="C55" s="7">
        <f t="shared" si="36"/>
        <v>9.6283069567107269</v>
      </c>
      <c r="D55" s="7">
        <f t="shared" ref="D55" si="37">IF(D42=0,IF(D54="","","*"&amp;TEXT(D54,"0.0x")),(D41+D42-D44)/D47)</f>
        <v>10.741135142220477</v>
      </c>
      <c r="E55" s="7">
        <f t="shared" ref="E55:I55" si="38">IF(E42=0,IF(E54="","","*"&amp;TEXT(E54,"0.0x")),(E41+E42-E44)/E47)</f>
        <v>11.137135872996947</v>
      </c>
      <c r="F55" s="7">
        <f t="shared" si="38"/>
        <v>10.798345309934536</v>
      </c>
      <c r="G55" s="7">
        <f t="shared" si="38"/>
        <v>10.531659430838799</v>
      </c>
      <c r="H55" s="7">
        <f t="shared" si="38"/>
        <v>11.02007746810497</v>
      </c>
      <c r="I55" s="7">
        <f t="shared" si="38"/>
        <v>11.340241733309059</v>
      </c>
      <c r="J55" s="7"/>
      <c r="K55" s="7"/>
      <c r="L55" s="7"/>
      <c r="M55" s="7"/>
      <c r="N55" s="7"/>
      <c r="O55" s="7" t="str">
        <f t="shared" ref="O55" si="39">IF(O42=0,IF(O54="","",CONCATENATE("* ",O54,"x")),(O41+O42-O44)/O47)</f>
        <v/>
      </c>
    </row>
    <row r="56" spans="1:15" x14ac:dyDescent="0.2">
      <c r="M56" s="3"/>
    </row>
    <row r="57" spans="1:15" ht="80.25" customHeight="1" x14ac:dyDescent="0.2">
      <c r="A57" s="5" t="s">
        <v>0</v>
      </c>
      <c r="B57" s="4" t="s">
        <v>104</v>
      </c>
      <c r="C57" s="4" t="s">
        <v>104</v>
      </c>
      <c r="D57" s="4" t="s">
        <v>104</v>
      </c>
      <c r="E57" s="4" t="s">
        <v>104</v>
      </c>
      <c r="F57" s="4" t="s">
        <v>104</v>
      </c>
      <c r="G57" s="4" t="s">
        <v>104</v>
      </c>
      <c r="H57" s="4" t="s">
        <v>498</v>
      </c>
      <c r="I57" s="4" t="s">
        <v>104</v>
      </c>
      <c r="J57" s="4"/>
      <c r="K57" s="4"/>
      <c r="L57" s="4"/>
      <c r="M57" s="4"/>
      <c r="N57" s="4"/>
      <c r="O57" s="4"/>
    </row>
    <row r="58" spans="1:15" x14ac:dyDescent="0.2">
      <c r="A58" s="2"/>
      <c r="B58" s="3"/>
      <c r="C58" s="3"/>
      <c r="D58" s="3"/>
      <c r="E58" s="3"/>
      <c r="F58" s="3"/>
      <c r="G58" s="3"/>
      <c r="H58" s="3"/>
      <c r="I58" s="3"/>
    </row>
    <row r="59" spans="1:15" x14ac:dyDescent="0.2">
      <c r="A59" s="2"/>
    </row>
  </sheetData>
  <pageMargins left="0.7" right="0.7" top="0.75" bottom="0.75" header="0.3" footer="0.3"/>
  <pageSetup orientation="portrait" r:id="rId1"/>
  <ignoredErrors>
    <ignoredError sqref="I15:O15 I17:O19 I13:K14 M13:O14" evalError="1"/>
  </ignoredError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477</v>
      </c>
    </row>
    <row r="3" spans="1:10" s="35" customFormat="1" x14ac:dyDescent="0.2">
      <c r="A3" s="36" t="s">
        <v>43</v>
      </c>
      <c r="B3" s="35" t="s">
        <v>478</v>
      </c>
    </row>
    <row r="4" spans="1:10" x14ac:dyDescent="0.2">
      <c r="A4" s="34" t="s">
        <v>41</v>
      </c>
      <c r="B4" s="1" t="s">
        <v>502</v>
      </c>
    </row>
    <row r="5" spans="1:10" x14ac:dyDescent="0.2">
      <c r="A5" s="34" t="s">
        <v>39</v>
      </c>
    </row>
    <row r="6" spans="1:10" x14ac:dyDescent="0.2">
      <c r="A6" s="34" t="s">
        <v>38</v>
      </c>
      <c r="B6" s="1">
        <v>2</v>
      </c>
    </row>
    <row r="7" spans="1:10" x14ac:dyDescent="0.2">
      <c r="A7" s="34" t="s">
        <v>37</v>
      </c>
      <c r="B7" s="1" t="s">
        <v>432</v>
      </c>
    </row>
    <row r="8" spans="1:10" x14ac:dyDescent="0.2">
      <c r="A8" s="34" t="s">
        <v>281</v>
      </c>
      <c r="B8" s="1" t="s">
        <v>479</v>
      </c>
    </row>
    <row r="9" spans="1:10" x14ac:dyDescent="0.2">
      <c r="A9" s="22"/>
    </row>
    <row r="10" spans="1:10" x14ac:dyDescent="0.2">
      <c r="A10" s="22" t="s">
        <v>36</v>
      </c>
      <c r="B10" s="33">
        <v>44286</v>
      </c>
      <c r="C10" s="33">
        <v>44196</v>
      </c>
      <c r="D10" s="33">
        <v>44104</v>
      </c>
      <c r="E10" s="33">
        <v>44012</v>
      </c>
      <c r="F10" s="33">
        <v>43921</v>
      </c>
      <c r="G10" s="33">
        <v>43830</v>
      </c>
      <c r="H10" s="33">
        <v>43738</v>
      </c>
      <c r="I10" s="33">
        <f>EOMONTH(H10,-3)</f>
        <v>43646</v>
      </c>
      <c r="J10" s="33">
        <f t="shared" ref="J10" si="0">EOMONTH(I10,-3)</f>
        <v>43555</v>
      </c>
    </row>
    <row r="12" spans="1:10" x14ac:dyDescent="0.2">
      <c r="A12" s="15" t="s">
        <v>35</v>
      </c>
      <c r="B12" s="19">
        <v>757</v>
      </c>
      <c r="C12" s="19">
        <f>3263-D12-E12-F12</f>
        <v>888</v>
      </c>
      <c r="D12" s="19">
        <v>823</v>
      </c>
      <c r="E12" s="19">
        <v>822</v>
      </c>
      <c r="F12" s="19">
        <f>1552-E12</f>
        <v>730</v>
      </c>
      <c r="G12" s="19">
        <f>3032-H12-I12-J12</f>
        <v>835</v>
      </c>
      <c r="H12" s="19">
        <v>741</v>
      </c>
      <c r="I12" s="19">
        <v>791</v>
      </c>
      <c r="J12" s="19">
        <f>1456-I12</f>
        <v>665</v>
      </c>
    </row>
    <row r="13" spans="1:10" s="28" customFormat="1" x14ac:dyDescent="0.2">
      <c r="A13" s="28" t="s">
        <v>34</v>
      </c>
      <c r="B13" s="28">
        <f>+B12/F12-1</f>
        <v>3.6986301369863028E-2</v>
      </c>
      <c r="C13" s="28">
        <f>+C12/G12-1</f>
        <v>6.347305389221547E-2</v>
      </c>
      <c r="D13" s="28">
        <f>+D12/H12-1</f>
        <v>0.11066126855600533</v>
      </c>
      <c r="E13" s="28">
        <f>+E12/I12-1</f>
        <v>3.9190897597977337E-2</v>
      </c>
      <c r="F13" s="28">
        <f>+F12/J12-1</f>
        <v>9.7744360902255689E-2</v>
      </c>
    </row>
    <row r="14" spans="1:10" s="23" customFormat="1" x14ac:dyDescent="0.2">
      <c r="A14" s="31" t="s">
        <v>33</v>
      </c>
      <c r="B14" s="32" t="s">
        <v>32</v>
      </c>
      <c r="C14" s="32" t="s">
        <v>32</v>
      </c>
      <c r="D14" s="32" t="s">
        <v>32</v>
      </c>
      <c r="E14" s="32" t="s">
        <v>32</v>
      </c>
      <c r="F14" s="32" t="s">
        <v>32</v>
      </c>
      <c r="G14" s="32"/>
      <c r="H14" s="32"/>
      <c r="I14" s="32"/>
      <c r="J14" s="32"/>
    </row>
    <row r="16" spans="1:10" s="22" customFormat="1" x14ac:dyDescent="0.2">
      <c r="A16" s="30" t="s">
        <v>31</v>
      </c>
      <c r="B16" s="29">
        <v>140</v>
      </c>
      <c r="C16" s="29">
        <v>198</v>
      </c>
      <c r="D16" s="29">
        <v>199</v>
      </c>
      <c r="E16" s="29">
        <v>193</v>
      </c>
      <c r="F16" s="29">
        <v>135</v>
      </c>
      <c r="G16" s="29">
        <v>214</v>
      </c>
      <c r="H16" s="29">
        <v>163</v>
      </c>
      <c r="I16" s="29">
        <v>169</v>
      </c>
      <c r="J16" s="29">
        <v>110</v>
      </c>
    </row>
    <row r="17" spans="1:10" s="28" customFormat="1" x14ac:dyDescent="0.2">
      <c r="A17" s="28" t="s">
        <v>30</v>
      </c>
      <c r="B17" s="28">
        <f>+B16/B12</f>
        <v>0.18494055482166447</v>
      </c>
      <c r="C17" s="28">
        <f>+C16/C12</f>
        <v>0.22297297297297297</v>
      </c>
      <c r="D17" s="28">
        <f>+D16/D12</f>
        <v>0.24179829890643986</v>
      </c>
      <c r="E17" s="28">
        <f>+E16/E12</f>
        <v>0.23479318734793186</v>
      </c>
      <c r="F17" s="28">
        <f>+F16/F12</f>
        <v>0.18493150684931506</v>
      </c>
      <c r="G17" s="28">
        <f t="shared" ref="G17:H17" si="1">+G16/G12</f>
        <v>0.2562874251497006</v>
      </c>
      <c r="H17" s="28">
        <f t="shared" si="1"/>
        <v>0.21997300944669365</v>
      </c>
      <c r="I17" s="28">
        <f t="shared" ref="I17:J17" si="2">+I16/I12</f>
        <v>0.213653603034134</v>
      </c>
      <c r="J17" s="28">
        <f t="shared" si="2"/>
        <v>0.16541353383458646</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140</v>
      </c>
      <c r="C22" s="20">
        <f>SUM(C16,C19:C21)</f>
        <v>198</v>
      </c>
      <c r="D22" s="20">
        <f>SUM(D16,D19:D21)</f>
        <v>199</v>
      </c>
      <c r="E22" s="20">
        <f>SUM(E16,E19:E21)</f>
        <v>193</v>
      </c>
      <c r="F22" s="20">
        <f>SUM(F16,F19:F21)</f>
        <v>135</v>
      </c>
      <c r="G22" s="20">
        <f t="shared" ref="G22:H22" si="3">SUM(G16,G19:G21)</f>
        <v>214</v>
      </c>
      <c r="H22" s="20">
        <f t="shared" si="3"/>
        <v>163</v>
      </c>
      <c r="I22" s="20">
        <f t="shared" ref="I22:J22" si="4">SUM(I16,I19:I21)</f>
        <v>169</v>
      </c>
      <c r="J22" s="20">
        <f t="shared" si="4"/>
        <v>110</v>
      </c>
    </row>
    <row r="23" spans="1:10" s="22" customFormat="1" x14ac:dyDescent="0.2">
      <c r="B23" s="20"/>
      <c r="C23" s="20"/>
      <c r="D23" s="20"/>
      <c r="E23" s="20"/>
      <c r="F23" s="20"/>
      <c r="G23" s="20"/>
      <c r="H23" s="20"/>
      <c r="I23" s="20"/>
      <c r="J23" s="20"/>
    </row>
    <row r="24" spans="1:10" s="22" customFormat="1" x14ac:dyDescent="0.2">
      <c r="A24" s="22" t="s">
        <v>27</v>
      </c>
      <c r="B24" s="20">
        <f>C24+B22-F22</f>
        <v>729</v>
      </c>
      <c r="C24" s="20">
        <f>D24+C22-G22</f>
        <v>724</v>
      </c>
      <c r="D24" s="20">
        <f>E24+D22-H22</f>
        <v>740</v>
      </c>
      <c r="E24" s="20">
        <f>F24+E22-I22</f>
        <v>704</v>
      </c>
      <c r="F24" s="20">
        <f>G24+F22-J22</f>
        <v>680</v>
      </c>
      <c r="G24" s="61">
        <v>655</v>
      </c>
      <c r="H24" s="20"/>
      <c r="I24" s="20"/>
      <c r="J24" s="20"/>
    </row>
    <row r="25" spans="1:10" s="23" customFormat="1" x14ac:dyDescent="0.2">
      <c r="A25" s="15" t="s">
        <v>26</v>
      </c>
      <c r="B25" s="27">
        <v>0</v>
      </c>
      <c r="C25" s="27">
        <f>717-C24</f>
        <v>-7</v>
      </c>
      <c r="D25" s="27">
        <v>0</v>
      </c>
      <c r="E25" s="27">
        <v>0</v>
      </c>
      <c r="F25" s="27">
        <v>0</v>
      </c>
      <c r="G25" s="27">
        <v>0</v>
      </c>
      <c r="H25" s="27"/>
      <c r="I25" s="27"/>
      <c r="J25" s="27"/>
    </row>
    <row r="26" spans="1:10" s="23" customFormat="1" x14ac:dyDescent="0.2">
      <c r="A26" s="15" t="s">
        <v>25</v>
      </c>
      <c r="B26" s="21">
        <v>0</v>
      </c>
      <c r="C26" s="21">
        <v>0</v>
      </c>
      <c r="D26" s="21">
        <v>0</v>
      </c>
      <c r="E26" s="21">
        <v>0</v>
      </c>
      <c r="F26" s="21">
        <v>0</v>
      </c>
      <c r="G26" s="21">
        <v>0</v>
      </c>
      <c r="H26" s="21"/>
      <c r="I26" s="21"/>
      <c r="J26" s="21"/>
    </row>
    <row r="27" spans="1:10" s="24" customFormat="1" x14ac:dyDescent="0.2">
      <c r="A27" s="22" t="s">
        <v>24</v>
      </c>
      <c r="B27" s="20">
        <f t="shared" ref="B27:G27" si="5">SUM(B24:B26)</f>
        <v>729</v>
      </c>
      <c r="C27" s="20">
        <f t="shared" si="5"/>
        <v>717</v>
      </c>
      <c r="D27" s="20">
        <f t="shared" si="5"/>
        <v>740</v>
      </c>
      <c r="E27" s="20">
        <f t="shared" si="5"/>
        <v>704</v>
      </c>
      <c r="F27" s="20">
        <f t="shared" si="5"/>
        <v>680</v>
      </c>
      <c r="G27" s="20">
        <f t="shared" si="5"/>
        <v>655</v>
      </c>
      <c r="H27" s="20"/>
      <c r="I27" s="20"/>
      <c r="J27" s="20"/>
    </row>
    <row r="28" spans="1:10" s="23" customFormat="1" x14ac:dyDescent="0.2"/>
    <row r="29" spans="1:10" s="22" customFormat="1" x14ac:dyDescent="0.2">
      <c r="A29" s="22" t="s">
        <v>23</v>
      </c>
      <c r="B29" s="20">
        <f t="shared" ref="B29" si="6">B22</f>
        <v>140</v>
      </c>
      <c r="C29" s="20">
        <f t="shared" ref="C29:D29" si="7">C22</f>
        <v>198</v>
      </c>
      <c r="D29" s="20">
        <f t="shared" si="7"/>
        <v>199</v>
      </c>
      <c r="E29" s="20">
        <f t="shared" ref="E29:F29" si="8">E22</f>
        <v>193</v>
      </c>
      <c r="F29" s="20">
        <f t="shared" si="8"/>
        <v>135</v>
      </c>
      <c r="G29" s="20">
        <f t="shared" ref="G29:J29" si="9">G22</f>
        <v>214</v>
      </c>
      <c r="H29" s="20">
        <f t="shared" si="9"/>
        <v>163</v>
      </c>
      <c r="I29" s="20">
        <f t="shared" si="9"/>
        <v>169</v>
      </c>
      <c r="J29" s="20">
        <f t="shared" si="9"/>
        <v>110</v>
      </c>
    </row>
    <row r="30" spans="1:10" s="11" customFormat="1" x14ac:dyDescent="0.2">
      <c r="A30" s="19" t="s">
        <v>22</v>
      </c>
      <c r="B30" s="19">
        <v>-12</v>
      </c>
      <c r="C30" s="19">
        <f>-60-23-D30-E30-F30</f>
        <v>-26</v>
      </c>
      <c r="D30" s="19">
        <f>-57-E30-F30</f>
        <v>-13</v>
      </c>
      <c r="E30" s="19">
        <f>-44-F30</f>
        <v>-17</v>
      </c>
      <c r="F30" s="19">
        <v>-27</v>
      </c>
      <c r="G30" s="19">
        <f>-103-6-H30-I30-J30</f>
        <v>65</v>
      </c>
      <c r="H30" s="19">
        <f>-174-I30-J30</f>
        <v>-39</v>
      </c>
      <c r="I30" s="19">
        <f>-135-J30</f>
        <v>-67</v>
      </c>
      <c r="J30" s="19">
        <v>-68</v>
      </c>
    </row>
    <row r="31" spans="1:10" s="11" customFormat="1" x14ac:dyDescent="0.2">
      <c r="A31" s="19" t="s">
        <v>21</v>
      </c>
      <c r="B31" s="19">
        <f>-25-6</f>
        <v>-31</v>
      </c>
      <c r="C31" s="19">
        <f>-76-D31-E31-F31</f>
        <v>-20</v>
      </c>
      <c r="D31" s="19">
        <f>-112+56-E31-F31</f>
        <v>-22</v>
      </c>
      <c r="E31" s="19">
        <f>-75+41-F31</f>
        <v>-23</v>
      </c>
      <c r="F31" s="19">
        <f>-39+28</f>
        <v>-11</v>
      </c>
      <c r="G31" s="19">
        <f>-4-H31-I31-J31</f>
        <v>49</v>
      </c>
      <c r="H31" s="19">
        <f>-44-9-I31-J31</f>
        <v>-27</v>
      </c>
      <c r="I31" s="19">
        <f>-24-2-J31</f>
        <v>-20</v>
      </c>
      <c r="J31" s="19">
        <f>-5-1</f>
        <v>-6</v>
      </c>
    </row>
    <row r="32" spans="1:10" s="11" customFormat="1" x14ac:dyDescent="0.2">
      <c r="A32" s="19" t="s">
        <v>20</v>
      </c>
      <c r="B32" s="19">
        <f>9+4-2-88+23-4+29-50-8</f>
        <v>-87</v>
      </c>
      <c r="C32" s="19">
        <f>-279-2+5+54-28-18+7+38+8-D32-E32-F32</f>
        <v>22</v>
      </c>
      <c r="D32" s="19">
        <f>-275+3+17+34-23-18+2+28-5-E32-F32</f>
        <v>-9</v>
      </c>
      <c r="E32" s="19">
        <f>-268-3+4+33+8-20-18+31+10-5-F32</f>
        <v>110</v>
      </c>
      <c r="F32" s="19">
        <f>-303-1+9-16+10-20-18+11-7-3</f>
        <v>-338</v>
      </c>
      <c r="G32" s="19">
        <f>2+6-27+2-6-89+133+72+9-7-H32-I32-J32</f>
        <v>129</v>
      </c>
      <c r="H32" s="19">
        <f>1+9-57-56-17-84+121+50+1-2-I32-J32</f>
        <v>-8</v>
      </c>
      <c r="I32" s="19">
        <f>2+11-50-52+1-63+109+24-6-2-J32</f>
        <v>100</v>
      </c>
      <c r="J32" s="19">
        <f>3+8-88-59-11-18+53+6-20</f>
        <v>-126</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9</v>
      </c>
      <c r="C35" s="20">
        <f>319-D35-E35-F35</f>
        <v>172</v>
      </c>
      <c r="D35" s="20">
        <f>147-E35-F35</f>
        <v>144</v>
      </c>
      <c r="E35" s="20">
        <f>3-F35</f>
        <v>258</v>
      </c>
      <c r="F35" s="20">
        <v>-255</v>
      </c>
      <c r="G35" s="20">
        <f>403-H35-I35-J35</f>
        <v>257</v>
      </c>
      <c r="H35" s="20">
        <f>146-I35-J35</f>
        <v>68</v>
      </c>
      <c r="I35" s="20">
        <f>78-J35</f>
        <v>174</v>
      </c>
      <c r="J35" s="20">
        <v>-96</v>
      </c>
    </row>
    <row r="36" spans="1:10" s="11" customFormat="1" x14ac:dyDescent="0.2">
      <c r="A36" s="19" t="s">
        <v>16</v>
      </c>
      <c r="B36" s="21">
        <v>-23</v>
      </c>
      <c r="C36" s="21">
        <f>-143-D36-E36-F36</f>
        <v>-58</v>
      </c>
      <c r="D36" s="21">
        <f>-85-E36-F36</f>
        <v>-33</v>
      </c>
      <c r="E36" s="21">
        <f>-52-F36</f>
        <v>-29</v>
      </c>
      <c r="F36" s="21">
        <v>-23</v>
      </c>
      <c r="G36" s="21">
        <f>-109-H36-I36-J36</f>
        <v>-35</v>
      </c>
      <c r="H36" s="21">
        <f>-74-I36-J36</f>
        <v>-33</v>
      </c>
      <c r="I36" s="21">
        <f>-41-J36</f>
        <v>-26</v>
      </c>
      <c r="J36" s="21">
        <v>-15</v>
      </c>
    </row>
    <row r="37" spans="1:10" s="20" customFormat="1" x14ac:dyDescent="0.2">
      <c r="A37" s="20" t="s">
        <v>15</v>
      </c>
      <c r="B37" s="20">
        <f t="shared" ref="B37:F37" si="10">+B35+B36</f>
        <v>-14</v>
      </c>
      <c r="C37" s="20">
        <f t="shared" si="10"/>
        <v>114</v>
      </c>
      <c r="D37" s="20">
        <f t="shared" si="10"/>
        <v>111</v>
      </c>
      <c r="E37" s="20">
        <f t="shared" si="10"/>
        <v>229</v>
      </c>
      <c r="F37" s="20">
        <f t="shared" si="10"/>
        <v>-278</v>
      </c>
      <c r="G37" s="20">
        <f t="shared" ref="G37:J37" si="11">+G35+G36</f>
        <v>222</v>
      </c>
      <c r="H37" s="20">
        <f t="shared" si="11"/>
        <v>35</v>
      </c>
      <c r="I37" s="20">
        <f t="shared" si="11"/>
        <v>148</v>
      </c>
      <c r="J37" s="20">
        <f t="shared" si="11"/>
        <v>-111</v>
      </c>
    </row>
    <row r="38" spans="1:10" x14ac:dyDescent="0.2">
      <c r="B38" s="11"/>
      <c r="C38" s="11"/>
      <c r="D38" s="11"/>
      <c r="E38" s="11"/>
      <c r="F38" s="11"/>
    </row>
    <row r="39" spans="1:10" s="16" customFormat="1" x14ac:dyDescent="0.2">
      <c r="A39" s="18" t="s">
        <v>14</v>
      </c>
      <c r="B39" s="19">
        <v>0</v>
      </c>
      <c r="C39" s="19">
        <v>0</v>
      </c>
      <c r="D39" s="19">
        <v>0</v>
      </c>
      <c r="E39" s="19">
        <v>0</v>
      </c>
      <c r="F39" s="19">
        <v>0</v>
      </c>
      <c r="G39" s="19">
        <v>0</v>
      </c>
      <c r="H39" s="19">
        <v>0</v>
      </c>
      <c r="I39" s="19"/>
      <c r="J39" s="19"/>
    </row>
    <row r="40" spans="1:10" s="16" customFormat="1" x14ac:dyDescent="0.2">
      <c r="A40" s="18" t="s">
        <v>13</v>
      </c>
      <c r="B40" s="19">
        <v>2150</v>
      </c>
      <c r="C40" s="19">
        <v>2257</v>
      </c>
      <c r="D40" s="19">
        <v>2363</v>
      </c>
      <c r="E40" s="19">
        <v>2469</v>
      </c>
      <c r="F40" s="19">
        <v>2475</v>
      </c>
      <c r="G40" s="19">
        <f>2475</f>
        <v>2475</v>
      </c>
      <c r="H40" s="19">
        <v>2475</v>
      </c>
      <c r="I40" s="19"/>
      <c r="J40" s="19"/>
    </row>
    <row r="41" spans="1:10" s="16" customFormat="1" x14ac:dyDescent="0.2">
      <c r="A41" s="18" t="s">
        <v>12</v>
      </c>
      <c r="B41" s="19">
        <f t="shared" ref="B41:H41" si="12">B39+B40</f>
        <v>2150</v>
      </c>
      <c r="C41" s="19">
        <f t="shared" si="12"/>
        <v>2257</v>
      </c>
      <c r="D41" s="19">
        <f t="shared" si="12"/>
        <v>2363</v>
      </c>
      <c r="E41" s="19">
        <f t="shared" si="12"/>
        <v>2469</v>
      </c>
      <c r="F41" s="19">
        <f t="shared" si="12"/>
        <v>2475</v>
      </c>
      <c r="G41" s="19">
        <f t="shared" si="12"/>
        <v>2475</v>
      </c>
      <c r="H41" s="19">
        <f t="shared" si="12"/>
        <v>2475</v>
      </c>
      <c r="I41" s="19"/>
      <c r="J41" s="19"/>
    </row>
    <row r="42" spans="1:10" s="16" customFormat="1" x14ac:dyDescent="0.2">
      <c r="A42" s="18" t="s">
        <v>11</v>
      </c>
      <c r="B42" s="17">
        <f>209758602/1000000*29.32</f>
        <v>6150.12221064</v>
      </c>
      <c r="C42" s="17">
        <f>209700500/1000000*30</f>
        <v>6291.0150000000003</v>
      </c>
      <c r="D42" s="17">
        <f>209700500/1000000*28.24</f>
        <v>5921.9421199999997</v>
      </c>
      <c r="E42" s="17">
        <f>209700500/1000000*34.06</f>
        <v>7142.3990300000005</v>
      </c>
      <c r="F42" s="17">
        <f>209700500/1000000*32.43</f>
        <v>6800.5872150000005</v>
      </c>
      <c r="G42" s="17">
        <v>5434.782608695652</v>
      </c>
      <c r="H42" s="17">
        <v>5434.782608695652</v>
      </c>
      <c r="I42" s="17"/>
      <c r="J42" s="17"/>
    </row>
    <row r="43" spans="1:10" x14ac:dyDescent="0.2">
      <c r="B43" s="16"/>
      <c r="C43" s="16"/>
      <c r="D43" s="16"/>
      <c r="E43" s="16"/>
      <c r="F43" s="16"/>
      <c r="G43" s="16"/>
      <c r="H43" s="16"/>
      <c r="I43" s="16"/>
      <c r="J43" s="16"/>
    </row>
    <row r="44" spans="1:10" x14ac:dyDescent="0.2">
      <c r="A44" s="15" t="s">
        <v>10</v>
      </c>
      <c r="B44" s="27">
        <v>144</v>
      </c>
      <c r="C44" s="27">
        <v>312</v>
      </c>
      <c r="D44" s="27">
        <v>351</v>
      </c>
      <c r="E44" s="27">
        <v>392</v>
      </c>
      <c r="F44" s="27">
        <v>200</v>
      </c>
      <c r="G44" s="27">
        <v>8</v>
      </c>
      <c r="H44" s="27">
        <v>8</v>
      </c>
      <c r="I44" s="27"/>
      <c r="J44" s="27"/>
    </row>
    <row r="46" spans="1:10" x14ac:dyDescent="0.2">
      <c r="A46" s="1" t="s">
        <v>9</v>
      </c>
      <c r="B46" s="13">
        <f>C46+B12-F12</f>
        <v>3290</v>
      </c>
      <c r="C46" s="13">
        <f>D46+C12-G12</f>
        <v>3263</v>
      </c>
      <c r="D46" s="13">
        <f>E46+D12-H12</f>
        <v>3210</v>
      </c>
      <c r="E46" s="13">
        <f>F46+E12-I12</f>
        <v>3128</v>
      </c>
      <c r="F46" s="13">
        <f>G46+F12-J12</f>
        <v>3097</v>
      </c>
      <c r="G46" s="12">
        <v>3032</v>
      </c>
      <c r="H46" s="12">
        <v>3104</v>
      </c>
      <c r="I46" s="11"/>
      <c r="J46" s="11"/>
    </row>
    <row r="47" spans="1:10" x14ac:dyDescent="0.2">
      <c r="A47" s="1" t="s">
        <v>8</v>
      </c>
      <c r="B47" s="13">
        <f t="shared" ref="B47:G47" si="13">B27</f>
        <v>729</v>
      </c>
      <c r="C47" s="13">
        <f t="shared" si="13"/>
        <v>717</v>
      </c>
      <c r="D47" s="13">
        <f t="shared" si="13"/>
        <v>740</v>
      </c>
      <c r="E47" s="13">
        <f t="shared" si="13"/>
        <v>704</v>
      </c>
      <c r="F47" s="13">
        <f t="shared" si="13"/>
        <v>680</v>
      </c>
      <c r="G47" s="13">
        <f t="shared" si="13"/>
        <v>655</v>
      </c>
      <c r="H47" s="12">
        <v>650</v>
      </c>
      <c r="I47" s="11"/>
      <c r="J47" s="11"/>
    </row>
    <row r="48" spans="1:10" x14ac:dyDescent="0.2">
      <c r="A48" s="1" t="s">
        <v>7</v>
      </c>
      <c r="B48" s="13">
        <f>C48+B37-F37</f>
        <v>279.00250000000005</v>
      </c>
      <c r="C48" s="13">
        <f>D48+C37-G37</f>
        <v>15.002500000000055</v>
      </c>
      <c r="D48" s="13">
        <f>E48+D37-H37</f>
        <v>123.00250000000005</v>
      </c>
      <c r="E48" s="13">
        <f>F48+E37-I37</f>
        <v>47.002500000000055</v>
      </c>
      <c r="F48" s="13">
        <f>G48+F37-J37</f>
        <v>-33.997499999999945</v>
      </c>
      <c r="G48" s="12">
        <v>133.00250000000005</v>
      </c>
      <c r="H48" s="12">
        <v>118.00250000000005</v>
      </c>
      <c r="I48" s="11"/>
      <c r="J48" s="11"/>
    </row>
    <row r="50" spans="1:10" s="10" customFormat="1" x14ac:dyDescent="0.2">
      <c r="A50" s="10" t="s">
        <v>6</v>
      </c>
      <c r="B50" s="10">
        <f t="shared" ref="B50" si="14">+SUM(B39:B40)/B47</f>
        <v>2.9492455418381343</v>
      </c>
      <c r="C50" s="10">
        <f t="shared" ref="C50:H50" si="15">+SUM(C39:C40)/C47</f>
        <v>3.1478382147838215</v>
      </c>
      <c r="D50" s="10">
        <f t="shared" si="15"/>
        <v>3.1932432432432432</v>
      </c>
      <c r="E50" s="10">
        <f t="shared" si="15"/>
        <v>3.5071022727272729</v>
      </c>
      <c r="F50" s="10">
        <f t="shared" si="15"/>
        <v>3.6397058823529411</v>
      </c>
      <c r="G50" s="10">
        <f t="shared" si="15"/>
        <v>3.7786259541984735</v>
      </c>
      <c r="H50" s="10">
        <f t="shared" si="15"/>
        <v>3.8076923076923075</v>
      </c>
    </row>
    <row r="51" spans="1:10" s="10" customFormat="1" x14ac:dyDescent="0.2">
      <c r="A51" s="10" t="s">
        <v>5</v>
      </c>
      <c r="B51" s="10">
        <f t="shared" ref="B51" si="16">+B41/B47</f>
        <v>2.9492455418381343</v>
      </c>
      <c r="C51" s="10">
        <f t="shared" ref="C51:H51" si="17">+C41/C47</f>
        <v>3.1478382147838215</v>
      </c>
      <c r="D51" s="10">
        <f t="shared" si="17"/>
        <v>3.1932432432432432</v>
      </c>
      <c r="E51" s="10">
        <f t="shared" si="17"/>
        <v>3.5071022727272729</v>
      </c>
      <c r="F51" s="10">
        <f t="shared" si="17"/>
        <v>3.6397058823529411</v>
      </c>
      <c r="G51" s="10">
        <f t="shared" si="17"/>
        <v>3.7786259541984735</v>
      </c>
      <c r="H51" s="10">
        <f t="shared" si="17"/>
        <v>3.8076923076923075</v>
      </c>
    </row>
    <row r="52" spans="1:10" s="10" customFormat="1" x14ac:dyDescent="0.2">
      <c r="A52" s="10" t="s">
        <v>4</v>
      </c>
      <c r="B52" s="10">
        <f t="shared" ref="B52" si="18">+(B41-B44)/B47</f>
        <v>2.7517146776406034</v>
      </c>
      <c r="C52" s="10">
        <f t="shared" ref="C52:H52" si="19">+(C41-C44)/C47</f>
        <v>2.7126917712691769</v>
      </c>
      <c r="D52" s="10">
        <f t="shared" si="19"/>
        <v>2.7189189189189191</v>
      </c>
      <c r="E52" s="10">
        <f t="shared" si="19"/>
        <v>2.9502840909090908</v>
      </c>
      <c r="F52" s="10">
        <f t="shared" si="19"/>
        <v>3.3455882352941178</v>
      </c>
      <c r="G52" s="10">
        <f t="shared" si="19"/>
        <v>3.7664122137404581</v>
      </c>
      <c r="H52" s="10">
        <f t="shared" si="19"/>
        <v>3.7953846153846156</v>
      </c>
    </row>
    <row r="53" spans="1:10" s="6" customFormat="1" x14ac:dyDescent="0.2">
      <c r="A53" s="6" t="s">
        <v>3</v>
      </c>
      <c r="B53" s="6">
        <f t="shared" ref="B53" si="20">+B48/B41</f>
        <v>0.12976860465116283</v>
      </c>
      <c r="C53" s="6">
        <f t="shared" ref="C53:H53" si="21">+C48/C41</f>
        <v>6.6470979175897449E-3</v>
      </c>
      <c r="D53" s="6">
        <f t="shared" si="21"/>
        <v>5.2053533643673322E-2</v>
      </c>
      <c r="E53" s="6">
        <f t="shared" si="21"/>
        <v>1.9037059538274628E-2</v>
      </c>
      <c r="F53" s="6">
        <f t="shared" si="21"/>
        <v>-1.3736363636363614E-2</v>
      </c>
      <c r="G53" s="6">
        <f t="shared" si="21"/>
        <v>5.3738383838383863E-2</v>
      </c>
      <c r="H53" s="6">
        <f t="shared" si="21"/>
        <v>4.7677777777777798E-2</v>
      </c>
    </row>
    <row r="54" spans="1:10" s="6" customFormat="1" x14ac:dyDescent="0.2">
      <c r="A54" s="8" t="s">
        <v>2</v>
      </c>
      <c r="B54" s="9"/>
      <c r="C54" s="9"/>
      <c r="D54" s="9"/>
      <c r="E54" s="9"/>
      <c r="F54" s="9"/>
      <c r="G54" s="9"/>
      <c r="H54" s="9"/>
      <c r="I54" s="9"/>
      <c r="J54" s="9"/>
    </row>
    <row r="55" spans="1:10" s="6" customFormat="1" x14ac:dyDescent="0.2">
      <c r="A55" s="6" t="s">
        <v>1</v>
      </c>
      <c r="B55" s="7">
        <f t="shared" ref="B55" si="22">IF(B42=0,IF(B54="","","*"&amp;TEXT(B54,"0.0x")),(B41+B42-B44)/B47)</f>
        <v>11.188096310891632</v>
      </c>
      <c r="C55" s="7">
        <f t="shared" ref="C55:H55" si="23">IF(C42=0,IF(C54="","","*"&amp;TEXT(C54,"0.0x")),(C41+C42-C44)/C47)</f>
        <v>11.486771269177126</v>
      </c>
      <c r="D55" s="7">
        <f t="shared" si="23"/>
        <v>10.721543405405406</v>
      </c>
      <c r="E55" s="7">
        <f t="shared" si="23"/>
        <v>13.095737258522728</v>
      </c>
      <c r="F55" s="7">
        <f t="shared" si="23"/>
        <v>13.346451786764705</v>
      </c>
      <c r="G55" s="7">
        <f t="shared" si="23"/>
        <v>12.063790242283439</v>
      </c>
      <c r="H55" s="7">
        <f t="shared" si="23"/>
        <v>12.156588628762542</v>
      </c>
      <c r="I55" s="7"/>
      <c r="J55" s="7"/>
    </row>
    <row r="57" spans="1:10" ht="80.25" customHeight="1" x14ac:dyDescent="0.2">
      <c r="A57" s="5" t="s">
        <v>0</v>
      </c>
      <c r="B57" s="4" t="s">
        <v>236</v>
      </c>
      <c r="C57" s="4" t="s">
        <v>279</v>
      </c>
      <c r="D57" s="4" t="s">
        <v>236</v>
      </c>
      <c r="E57" s="4" t="s">
        <v>236</v>
      </c>
      <c r="F57" s="4" t="s">
        <v>236</v>
      </c>
      <c r="G57" s="4" t="s">
        <v>495</v>
      </c>
      <c r="H57" s="4" t="s">
        <v>104</v>
      </c>
      <c r="I57" s="4"/>
      <c r="J57" s="4"/>
    </row>
    <row r="58" spans="1:10" x14ac:dyDescent="0.2">
      <c r="A58" s="2"/>
      <c r="B58" s="3"/>
      <c r="C58" s="3"/>
      <c r="D58" s="3"/>
      <c r="E58" s="3"/>
      <c r="F58" s="3"/>
      <c r="G58" s="3"/>
      <c r="H58" s="3"/>
    </row>
    <row r="59" spans="1:10" x14ac:dyDescent="0.2">
      <c r="A59" s="2"/>
    </row>
  </sheetData>
  <pageMargins left="0.7" right="0.7" top="0.75" bottom="0.75" header="0.3" footer="0.3"/>
  <pageSetup orientation="portrait" r:id="rId1"/>
  <ignoredErrors>
    <ignoredError sqref="J29 H15:J15 J33:J34 J17:J23" evalError="1"/>
  </ignoredError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2:O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480</v>
      </c>
    </row>
    <row r="3" spans="1:15" s="35" customFormat="1" x14ac:dyDescent="0.2">
      <c r="A3" s="36" t="s">
        <v>43</v>
      </c>
      <c r="B3" s="35" t="s">
        <v>482</v>
      </c>
    </row>
    <row r="4" spans="1:15" x14ac:dyDescent="0.2">
      <c r="A4" s="34" t="s">
        <v>41</v>
      </c>
      <c r="B4" s="1" t="s">
        <v>40</v>
      </c>
    </row>
    <row r="5" spans="1:15" x14ac:dyDescent="0.2">
      <c r="A5" s="34" t="s">
        <v>39</v>
      </c>
    </row>
    <row r="6" spans="1:15" x14ac:dyDescent="0.2">
      <c r="A6" s="34" t="s">
        <v>38</v>
      </c>
      <c r="B6" s="1">
        <v>3</v>
      </c>
    </row>
    <row r="7" spans="1:15" x14ac:dyDescent="0.2">
      <c r="A7" s="34" t="s">
        <v>37</v>
      </c>
      <c r="B7" s="1" t="s">
        <v>422</v>
      </c>
    </row>
    <row r="8" spans="1:15" x14ac:dyDescent="0.2">
      <c r="A8" s="34" t="s">
        <v>281</v>
      </c>
      <c r="B8" s="1" t="s">
        <v>483</v>
      </c>
    </row>
    <row r="9" spans="1:15" x14ac:dyDescent="0.2">
      <c r="A9" s="22"/>
    </row>
    <row r="10" spans="1:15" x14ac:dyDescent="0.2">
      <c r="A10" s="22" t="s">
        <v>36</v>
      </c>
      <c r="B10" s="33">
        <v>44286</v>
      </c>
      <c r="C10" s="33">
        <v>44196</v>
      </c>
      <c r="D10" s="33">
        <v>44104</v>
      </c>
      <c r="E10" s="33">
        <v>44012</v>
      </c>
      <c r="F10" s="33">
        <v>43921</v>
      </c>
      <c r="G10" s="33">
        <v>43830</v>
      </c>
      <c r="H10" s="33">
        <v>43738</v>
      </c>
      <c r="I10" s="33">
        <f>EOMONTH(H10,-3)</f>
        <v>43646</v>
      </c>
      <c r="J10" s="33">
        <f t="shared" ref="J10:O10" si="0">EOMONTH(I10,-3)</f>
        <v>43555</v>
      </c>
      <c r="K10" s="33">
        <f t="shared" si="0"/>
        <v>43465</v>
      </c>
      <c r="L10" s="33">
        <f t="shared" si="0"/>
        <v>43373</v>
      </c>
      <c r="M10" s="33">
        <f t="shared" si="0"/>
        <v>43281</v>
      </c>
      <c r="N10" s="33">
        <f t="shared" si="0"/>
        <v>43190</v>
      </c>
      <c r="O10" s="33">
        <f t="shared" si="0"/>
        <v>43100</v>
      </c>
    </row>
    <row r="12" spans="1:15" x14ac:dyDescent="0.2">
      <c r="A12" s="15" t="s">
        <v>35</v>
      </c>
      <c r="B12" s="19">
        <v>23.803000000000001</v>
      </c>
      <c r="C12" s="19"/>
      <c r="D12" s="19"/>
      <c r="E12" s="19"/>
      <c r="F12" s="19">
        <v>2.7010000000000001</v>
      </c>
      <c r="G12" s="19"/>
      <c r="H12" s="19"/>
      <c r="I12" s="19"/>
      <c r="J12" s="19"/>
      <c r="K12" s="19"/>
      <c r="L12" s="19"/>
      <c r="M12" s="19"/>
      <c r="N12" s="19"/>
      <c r="O12" s="19"/>
    </row>
    <row r="13" spans="1:15" s="28" customFormat="1" x14ac:dyDescent="0.2">
      <c r="A13" s="28" t="s">
        <v>34</v>
      </c>
      <c r="B13" s="28">
        <f>B12/F12-1</f>
        <v>7.8126619770455381</v>
      </c>
    </row>
    <row r="14" spans="1:15" s="23" customFormat="1" x14ac:dyDescent="0.2">
      <c r="A14" s="31" t="s">
        <v>33</v>
      </c>
      <c r="B14" s="32" t="s">
        <v>32</v>
      </c>
      <c r="C14" s="32"/>
      <c r="D14" s="32"/>
      <c r="E14" s="32"/>
      <c r="F14" s="32" t="s">
        <v>32</v>
      </c>
      <c r="G14" s="32"/>
      <c r="H14" s="32"/>
      <c r="I14" s="32"/>
      <c r="J14" s="32"/>
      <c r="K14" s="32"/>
      <c r="L14" s="31"/>
      <c r="M14" s="31"/>
      <c r="N14" s="31"/>
      <c r="O14" s="31"/>
    </row>
    <row r="16" spans="1:15" s="22" customFormat="1" x14ac:dyDescent="0.2">
      <c r="A16" s="30" t="s">
        <v>31</v>
      </c>
      <c r="B16" s="29">
        <v>-40</v>
      </c>
      <c r="C16" s="29"/>
      <c r="D16" s="29"/>
      <c r="E16" s="29"/>
      <c r="F16" s="29">
        <v>-190.666</v>
      </c>
      <c r="G16" s="29"/>
      <c r="H16" s="29"/>
      <c r="I16" s="29"/>
      <c r="J16" s="29"/>
      <c r="K16" s="29"/>
      <c r="L16" s="29"/>
      <c r="M16" s="29"/>
      <c r="N16" s="29"/>
      <c r="O16" s="29"/>
    </row>
    <row r="17" spans="1:15" s="28" customFormat="1" x14ac:dyDescent="0.2">
      <c r="A17" s="28" t="s">
        <v>30</v>
      </c>
    </row>
    <row r="18" spans="1:15" s="23" customFormat="1" x14ac:dyDescent="0.2"/>
    <row r="19" spans="1:15" s="23" customFormat="1" x14ac:dyDescent="0.2">
      <c r="A19" s="15" t="s">
        <v>29</v>
      </c>
      <c r="B19" s="19">
        <v>0</v>
      </c>
      <c r="C19" s="19"/>
      <c r="D19" s="19"/>
      <c r="E19" s="19"/>
      <c r="F19" s="19">
        <v>0</v>
      </c>
      <c r="G19" s="19"/>
      <c r="H19" s="19"/>
      <c r="I19" s="19"/>
      <c r="J19" s="19"/>
      <c r="K19" s="19"/>
      <c r="L19" s="19"/>
      <c r="M19" s="19"/>
      <c r="N19" s="19"/>
      <c r="O19" s="19"/>
    </row>
    <row r="20" spans="1:15" s="23" customFormat="1" x14ac:dyDescent="0.2">
      <c r="A20" s="15" t="s">
        <v>28</v>
      </c>
      <c r="B20" s="19">
        <v>0</v>
      </c>
      <c r="C20" s="19"/>
      <c r="D20" s="19"/>
      <c r="E20" s="19"/>
      <c r="F20" s="19">
        <v>0</v>
      </c>
      <c r="G20" s="19"/>
      <c r="H20" s="19"/>
      <c r="I20" s="19"/>
      <c r="J20" s="19"/>
      <c r="K20" s="19"/>
      <c r="L20" s="19"/>
      <c r="M20" s="19"/>
      <c r="N20" s="19"/>
      <c r="O20" s="19"/>
    </row>
    <row r="21" spans="1:15" s="23" customFormat="1" x14ac:dyDescent="0.2">
      <c r="A21" s="15" t="s">
        <v>18</v>
      </c>
      <c r="B21" s="19">
        <v>0</v>
      </c>
      <c r="C21" s="19"/>
      <c r="D21" s="19"/>
      <c r="E21" s="19"/>
      <c r="F21" s="19">
        <v>0</v>
      </c>
      <c r="G21" s="19"/>
      <c r="H21" s="19"/>
      <c r="I21" s="19"/>
      <c r="J21" s="19"/>
      <c r="K21" s="19"/>
      <c r="L21" s="19"/>
      <c r="M21" s="19"/>
      <c r="N21" s="19"/>
      <c r="O21" s="19"/>
    </row>
    <row r="22" spans="1:15" s="22" customFormat="1" x14ac:dyDescent="0.2">
      <c r="A22" s="22" t="s">
        <v>23</v>
      </c>
      <c r="B22" s="20">
        <f>SUM(B16,B19:B21)</f>
        <v>-40</v>
      </c>
      <c r="C22" s="20"/>
      <c r="D22" s="20"/>
      <c r="E22" s="20"/>
      <c r="F22" s="20">
        <f>SUM(F16,F19:F21)</f>
        <v>-190.666</v>
      </c>
      <c r="G22" s="20"/>
      <c r="H22" s="20"/>
      <c r="I22" s="20"/>
      <c r="J22" s="20"/>
      <c r="K22" s="20"/>
      <c r="L22" s="20"/>
      <c r="M22" s="20"/>
      <c r="N22" s="20"/>
      <c r="O22" s="20"/>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20">
        <f>C24+B22-F22</f>
        <v>-305.08</v>
      </c>
      <c r="C24" s="61">
        <v>-455.74599999999998</v>
      </c>
      <c r="D24" s="20"/>
      <c r="E24" s="20"/>
      <c r="F24" s="20"/>
      <c r="G24" s="20">
        <f>G47</f>
        <v>595</v>
      </c>
      <c r="H24" s="20">
        <f>H47</f>
        <v>595</v>
      </c>
      <c r="I24" s="20"/>
      <c r="J24" s="20"/>
      <c r="K24" s="20"/>
      <c r="L24" s="20"/>
      <c r="M24" s="20"/>
      <c r="N24" s="20"/>
      <c r="O24" s="20"/>
    </row>
    <row r="25" spans="1:15" s="23" customFormat="1" x14ac:dyDescent="0.2">
      <c r="A25" s="15" t="s">
        <v>26</v>
      </c>
      <c r="B25" s="27">
        <v>0</v>
      </c>
      <c r="C25" s="27">
        <v>0</v>
      </c>
      <c r="D25" s="27"/>
      <c r="E25" s="27"/>
      <c r="F25" s="27"/>
      <c r="G25" s="27">
        <v>0</v>
      </c>
      <c r="H25" s="27">
        <v>0</v>
      </c>
      <c r="I25" s="27"/>
      <c r="J25" s="27"/>
      <c r="K25" s="27"/>
      <c r="L25" s="27"/>
      <c r="M25" s="27"/>
      <c r="N25" s="27"/>
      <c r="O25" s="27"/>
    </row>
    <row r="26" spans="1:15" s="23" customFormat="1" x14ac:dyDescent="0.2">
      <c r="A26" s="15" t="s">
        <v>25</v>
      </c>
      <c r="B26" s="21">
        <v>0</v>
      </c>
      <c r="C26" s="21">
        <v>0</v>
      </c>
      <c r="D26" s="21"/>
      <c r="E26" s="21"/>
      <c r="F26" s="21"/>
      <c r="G26" s="21">
        <v>0</v>
      </c>
      <c r="H26" s="21">
        <v>0</v>
      </c>
      <c r="I26" s="21"/>
      <c r="J26" s="21"/>
      <c r="K26" s="21"/>
      <c r="L26" s="21"/>
      <c r="M26" s="26"/>
      <c r="N26" s="26"/>
      <c r="O26" s="26"/>
    </row>
    <row r="27" spans="1:15" s="24" customFormat="1" x14ac:dyDescent="0.2">
      <c r="A27" s="22" t="s">
        <v>24</v>
      </c>
      <c r="B27" s="20">
        <f>SUM(B24:B26)</f>
        <v>-305.08</v>
      </c>
      <c r="C27" s="20">
        <f>SUM(C24:C26)</f>
        <v>-455.74599999999998</v>
      </c>
      <c r="D27" s="20"/>
      <c r="E27" s="20"/>
      <c r="F27" s="20"/>
      <c r="G27" s="20">
        <f>SUM(G24:G26)</f>
        <v>595</v>
      </c>
      <c r="H27" s="20">
        <f>SUM(H24:H26)</f>
        <v>595</v>
      </c>
      <c r="I27" s="20"/>
      <c r="J27" s="20"/>
      <c r="K27" s="20"/>
      <c r="L27" s="20"/>
      <c r="M27" s="25"/>
      <c r="N27" s="25"/>
      <c r="O27" s="25"/>
    </row>
    <row r="28" spans="1:15" s="23" customFormat="1" x14ac:dyDescent="0.2"/>
    <row r="29" spans="1:15" s="22" customFormat="1" x14ac:dyDescent="0.2">
      <c r="A29" s="22" t="s">
        <v>23</v>
      </c>
      <c r="B29" s="20">
        <f t="shared" ref="B29:F29" si="1">B22</f>
        <v>-40</v>
      </c>
      <c r="C29" s="20"/>
      <c r="D29" s="20"/>
      <c r="E29" s="20"/>
      <c r="F29" s="20">
        <f t="shared" si="1"/>
        <v>-190.666</v>
      </c>
      <c r="G29" s="20"/>
      <c r="H29" s="20"/>
      <c r="I29" s="20"/>
      <c r="J29" s="20"/>
      <c r="K29" s="20"/>
      <c r="L29" s="20"/>
      <c r="M29" s="20"/>
      <c r="N29" s="20"/>
      <c r="O29" s="20"/>
    </row>
    <row r="30" spans="1:15" s="11" customFormat="1" x14ac:dyDescent="0.2">
      <c r="A30" s="19" t="s">
        <v>22</v>
      </c>
      <c r="B30" s="19">
        <v>-32.323999999999998</v>
      </c>
      <c r="C30" s="19"/>
      <c r="D30" s="19"/>
      <c r="E30" s="19"/>
      <c r="F30" s="19">
        <v>-14.616</v>
      </c>
      <c r="G30" s="19"/>
      <c r="H30" s="19"/>
      <c r="I30" s="19"/>
      <c r="J30" s="19"/>
      <c r="K30" s="19"/>
      <c r="L30" s="19"/>
      <c r="M30" s="19"/>
      <c r="N30" s="19"/>
      <c r="O30" s="19"/>
    </row>
    <row r="31" spans="1:15" s="11" customFormat="1" x14ac:dyDescent="0.2">
      <c r="A31" s="19" t="s">
        <v>21</v>
      </c>
      <c r="B31" s="19">
        <v>-6.5679999999999996</v>
      </c>
      <c r="C31" s="19"/>
      <c r="D31" s="19"/>
      <c r="E31" s="19"/>
      <c r="F31" s="19">
        <v>0</v>
      </c>
      <c r="G31" s="19"/>
      <c r="H31" s="19"/>
      <c r="I31" s="19"/>
      <c r="J31" s="19"/>
      <c r="K31" s="19"/>
      <c r="L31" s="19"/>
      <c r="M31" s="19"/>
      <c r="N31" s="19"/>
      <c r="O31" s="19"/>
    </row>
    <row r="32" spans="1:15" s="11" customFormat="1" x14ac:dyDescent="0.2">
      <c r="A32" s="19" t="s">
        <v>20</v>
      </c>
      <c r="B32" s="19">
        <v>-17.058999999999997</v>
      </c>
      <c r="C32" s="19"/>
      <c r="D32" s="19"/>
      <c r="E32" s="19"/>
      <c r="F32" s="19">
        <v>133.92899999999997</v>
      </c>
      <c r="G32" s="19"/>
      <c r="H32" s="19"/>
      <c r="I32" s="19"/>
      <c r="J32" s="19"/>
      <c r="K32" s="19"/>
      <c r="L32" s="19"/>
      <c r="M32" s="19"/>
      <c r="N32" s="19"/>
      <c r="O32" s="19"/>
    </row>
    <row r="33" spans="1:15" s="11" customFormat="1" x14ac:dyDescent="0.2">
      <c r="A33" s="19" t="s">
        <v>19</v>
      </c>
      <c r="B33" s="19">
        <v>0</v>
      </c>
      <c r="C33" s="19"/>
      <c r="D33" s="19"/>
      <c r="E33" s="19"/>
      <c r="F33" s="19">
        <v>0</v>
      </c>
      <c r="G33" s="19"/>
      <c r="H33" s="19"/>
      <c r="I33" s="19"/>
      <c r="J33" s="19"/>
      <c r="K33" s="19"/>
      <c r="L33" s="19"/>
      <c r="M33" s="19"/>
      <c r="N33" s="19"/>
      <c r="O33" s="19"/>
    </row>
    <row r="34" spans="1:15" s="11" customFormat="1" x14ac:dyDescent="0.2">
      <c r="A34" s="19" t="s">
        <v>18</v>
      </c>
      <c r="B34" s="21">
        <v>0</v>
      </c>
      <c r="C34" s="21"/>
      <c r="D34" s="21"/>
      <c r="E34" s="21"/>
      <c r="F34" s="21">
        <v>0</v>
      </c>
      <c r="G34" s="21"/>
      <c r="H34" s="21"/>
      <c r="I34" s="21"/>
      <c r="J34" s="21"/>
      <c r="K34" s="21"/>
      <c r="L34" s="21"/>
      <c r="M34" s="21"/>
      <c r="N34" s="21"/>
      <c r="O34" s="21"/>
    </row>
    <row r="35" spans="1:15" s="20" customFormat="1" x14ac:dyDescent="0.2">
      <c r="A35" s="20" t="s">
        <v>17</v>
      </c>
      <c r="B35" s="20">
        <v>-115.709</v>
      </c>
      <c r="F35" s="20">
        <v>-73.489000000000004</v>
      </c>
    </row>
    <row r="36" spans="1:15" s="11" customFormat="1" x14ac:dyDescent="0.2">
      <c r="A36" s="19" t="s">
        <v>16</v>
      </c>
      <c r="B36" s="21">
        <v>-1.7000000000000001E-2</v>
      </c>
      <c r="C36" s="21"/>
      <c r="D36" s="21"/>
      <c r="E36" s="21"/>
      <c r="F36" s="21">
        <v>-8.5999999999999993E-2</v>
      </c>
      <c r="G36" s="21"/>
      <c r="H36" s="21"/>
      <c r="I36" s="21"/>
      <c r="J36" s="21"/>
      <c r="K36" s="21"/>
      <c r="L36" s="21"/>
      <c r="M36" s="21"/>
      <c r="N36" s="21"/>
      <c r="O36" s="21"/>
    </row>
    <row r="37" spans="1:15" s="20" customFormat="1" x14ac:dyDescent="0.2">
      <c r="A37" s="20" t="s">
        <v>15</v>
      </c>
      <c r="B37" s="20">
        <f>+B35+B36</f>
        <v>-115.726</v>
      </c>
      <c r="F37" s="20">
        <f>+F35+F36</f>
        <v>-73.575000000000003</v>
      </c>
    </row>
    <row r="39" spans="1:15" s="16" customFormat="1" x14ac:dyDescent="0.2">
      <c r="A39" s="18" t="s">
        <v>14</v>
      </c>
      <c r="B39" s="19">
        <v>0</v>
      </c>
      <c r="C39" s="19">
        <v>0</v>
      </c>
      <c r="D39" s="19">
        <v>0</v>
      </c>
      <c r="E39" s="19">
        <v>0</v>
      </c>
      <c r="F39" s="19">
        <v>50</v>
      </c>
      <c r="G39" s="19">
        <v>0</v>
      </c>
      <c r="H39" s="19">
        <v>0</v>
      </c>
      <c r="I39" s="19"/>
      <c r="J39" s="19"/>
      <c r="K39" s="19"/>
      <c r="L39" s="19"/>
      <c r="M39" s="19"/>
      <c r="N39" s="19"/>
      <c r="O39" s="19"/>
    </row>
    <row r="40" spans="1:15" s="16" customFormat="1" x14ac:dyDescent="0.2">
      <c r="A40" s="18" t="s">
        <v>13</v>
      </c>
      <c r="B40" s="19">
        <v>2557.6090000000004</v>
      </c>
      <c r="C40" s="19">
        <v>2562.6840000000002</v>
      </c>
      <c r="D40" s="19">
        <v>2522</v>
      </c>
      <c r="E40" s="19">
        <v>2192</v>
      </c>
      <c r="F40" s="19">
        <v>2200</v>
      </c>
      <c r="G40" s="19">
        <v>1475</v>
      </c>
      <c r="H40" s="19">
        <v>1475</v>
      </c>
      <c r="I40" s="19"/>
      <c r="J40" s="19"/>
      <c r="K40" s="19"/>
      <c r="L40" s="19"/>
      <c r="M40" s="19"/>
      <c r="N40" s="19"/>
      <c r="O40" s="19"/>
    </row>
    <row r="41" spans="1:15" s="16" customFormat="1" x14ac:dyDescent="0.2">
      <c r="A41" s="18" t="s">
        <v>12</v>
      </c>
      <c r="B41" s="19">
        <f>B39+B40</f>
        <v>2557.6090000000004</v>
      </c>
      <c r="C41" s="19">
        <f>C39+C40</f>
        <v>2562.6840000000002</v>
      </c>
      <c r="D41" s="19">
        <f>D39+D40</f>
        <v>2522</v>
      </c>
      <c r="E41" s="19">
        <f>E39+E40</f>
        <v>2192</v>
      </c>
      <c r="F41" s="19">
        <f>F39+F40</f>
        <v>2250</v>
      </c>
      <c r="G41" s="19">
        <f>G39+G40+325</f>
        <v>1800</v>
      </c>
      <c r="H41" s="19">
        <f>H39+H40+325</f>
        <v>1800</v>
      </c>
      <c r="I41" s="19"/>
      <c r="J41" s="19"/>
      <c r="K41" s="19"/>
      <c r="L41" s="19"/>
      <c r="M41" s="19"/>
      <c r="N41" s="19"/>
      <c r="O41" s="19"/>
    </row>
    <row r="42" spans="1:15" s="16" customFormat="1" x14ac:dyDescent="0.2">
      <c r="A42" s="18" t="s">
        <v>11</v>
      </c>
      <c r="B42" s="17">
        <v>4880</v>
      </c>
      <c r="C42" s="17">
        <v>4880</v>
      </c>
      <c r="D42" s="17">
        <v>4880</v>
      </c>
      <c r="E42" s="17">
        <v>4880</v>
      </c>
      <c r="F42" s="17">
        <v>4880</v>
      </c>
      <c r="G42" s="17">
        <v>4880</v>
      </c>
      <c r="H42" s="17">
        <v>4880</v>
      </c>
      <c r="I42" s="17"/>
      <c r="J42" s="17"/>
      <c r="K42" s="17"/>
      <c r="L42" s="17"/>
      <c r="M42" s="17"/>
      <c r="N42" s="17"/>
      <c r="O42" s="17"/>
    </row>
    <row r="43" spans="1:15" x14ac:dyDescent="0.2">
      <c r="B43" s="16"/>
      <c r="C43" s="16"/>
      <c r="D43" s="16"/>
      <c r="E43" s="16"/>
      <c r="F43" s="16"/>
      <c r="G43" s="16"/>
      <c r="H43" s="16"/>
      <c r="I43" s="16"/>
      <c r="J43" s="16"/>
    </row>
    <row r="44" spans="1:15" x14ac:dyDescent="0.2">
      <c r="A44" s="15" t="s">
        <v>10</v>
      </c>
      <c r="B44" s="27">
        <v>629.08299999999997</v>
      </c>
      <c r="C44" s="27"/>
      <c r="D44" s="27">
        <v>731.02</v>
      </c>
      <c r="E44" s="27">
        <v>488.43831799999998</v>
      </c>
      <c r="F44" s="27">
        <v>589.65463099999999</v>
      </c>
      <c r="G44" s="27">
        <v>288</v>
      </c>
      <c r="H44" s="27">
        <v>288</v>
      </c>
      <c r="I44" s="27"/>
      <c r="J44" s="27"/>
      <c r="K44" s="27"/>
      <c r="L44" s="27"/>
      <c r="M44" s="27"/>
      <c r="N44" s="14"/>
      <c r="O44" s="14"/>
    </row>
    <row r="46" spans="1:15" x14ac:dyDescent="0.2">
      <c r="A46" s="1" t="s">
        <v>9</v>
      </c>
      <c r="B46" s="12">
        <f>C46+B12-F12</f>
        <v>56.743000000000002</v>
      </c>
      <c r="C46" s="12">
        <v>35.640999999999998</v>
      </c>
      <c r="D46" s="12"/>
      <c r="E46" s="12"/>
      <c r="F46" s="12"/>
      <c r="G46" s="12">
        <v>1389</v>
      </c>
      <c r="H46" s="12">
        <v>1389</v>
      </c>
      <c r="I46" s="11"/>
      <c r="J46" s="11"/>
      <c r="K46" s="11"/>
      <c r="L46" s="11"/>
    </row>
    <row r="47" spans="1:15" x14ac:dyDescent="0.2">
      <c r="A47" s="1" t="s">
        <v>8</v>
      </c>
      <c r="B47" s="13">
        <f>B27</f>
        <v>-305.08</v>
      </c>
      <c r="C47" s="13">
        <f>C27</f>
        <v>-455.74599999999998</v>
      </c>
      <c r="D47" s="12"/>
      <c r="E47" s="12"/>
      <c r="F47" s="12"/>
      <c r="G47" s="12">
        <v>595</v>
      </c>
      <c r="H47" s="12">
        <v>595</v>
      </c>
      <c r="I47" s="11"/>
      <c r="J47" s="11"/>
      <c r="K47" s="11"/>
      <c r="L47" s="11"/>
    </row>
    <row r="48" spans="1:15" x14ac:dyDescent="0.2">
      <c r="A48" s="1" t="s">
        <v>7</v>
      </c>
      <c r="B48" s="12"/>
      <c r="C48" s="12"/>
      <c r="D48" s="12"/>
      <c r="E48" s="12"/>
      <c r="F48" s="12"/>
      <c r="G48" s="12">
        <v>370.13249999999999</v>
      </c>
      <c r="H48" s="12">
        <v>370.13249999999999</v>
      </c>
      <c r="I48" s="11"/>
      <c r="J48" s="11"/>
      <c r="K48" s="11"/>
      <c r="L48" s="11"/>
    </row>
    <row r="50" spans="1:15" s="10" customFormat="1" x14ac:dyDescent="0.2">
      <c r="A50" s="10" t="s">
        <v>6</v>
      </c>
      <c r="B50" s="134" t="s">
        <v>615</v>
      </c>
      <c r="C50" s="134" t="s">
        <v>615</v>
      </c>
      <c r="G50" s="10">
        <f>+SUM(G39:G40)/G47</f>
        <v>2.4789915966386555</v>
      </c>
      <c r="H50" s="10">
        <f>+SUM(H39:H40)/H47</f>
        <v>2.4789915966386555</v>
      </c>
    </row>
    <row r="51" spans="1:15" s="10" customFormat="1" x14ac:dyDescent="0.2">
      <c r="A51" s="10" t="s">
        <v>5</v>
      </c>
      <c r="B51" s="134" t="s">
        <v>615</v>
      </c>
      <c r="C51" s="134" t="s">
        <v>615</v>
      </c>
      <c r="G51" s="10">
        <f>+G41/G47</f>
        <v>3.0252100840336134</v>
      </c>
      <c r="H51" s="10">
        <f>+H41/H47</f>
        <v>3.0252100840336134</v>
      </c>
    </row>
    <row r="52" spans="1:15" s="10" customFormat="1" x14ac:dyDescent="0.2">
      <c r="A52" s="10" t="s">
        <v>4</v>
      </c>
      <c r="B52" s="134" t="s">
        <v>615</v>
      </c>
      <c r="C52" s="134" t="s">
        <v>615</v>
      </c>
      <c r="G52" s="10">
        <f>+(G41-G44)/G47</f>
        <v>2.5411764705882351</v>
      </c>
      <c r="H52" s="10">
        <f>+(H41-H44)/H47</f>
        <v>2.5411764705882351</v>
      </c>
    </row>
    <row r="53" spans="1:15" s="6" customFormat="1" x14ac:dyDescent="0.2">
      <c r="A53" s="6" t="s">
        <v>3</v>
      </c>
      <c r="B53" s="134" t="s">
        <v>615</v>
      </c>
      <c r="C53" s="134" t="s">
        <v>615</v>
      </c>
      <c r="G53" s="6">
        <f>+G48/G41</f>
        <v>0.20562916666666667</v>
      </c>
      <c r="H53" s="6">
        <f>+H48/H41</f>
        <v>0.20562916666666667</v>
      </c>
    </row>
    <row r="54" spans="1:15" s="6" customFormat="1" x14ac:dyDescent="0.2">
      <c r="A54" s="8" t="s">
        <v>2</v>
      </c>
      <c r="B54" s="9"/>
      <c r="C54" s="9"/>
      <c r="D54" s="9"/>
      <c r="E54" s="9"/>
      <c r="F54" s="9"/>
      <c r="G54" s="9"/>
      <c r="H54" s="9"/>
      <c r="I54" s="9"/>
      <c r="J54" s="9"/>
      <c r="K54" s="9"/>
      <c r="L54" s="9"/>
      <c r="M54" s="8"/>
      <c r="N54" s="8"/>
      <c r="O54" s="8"/>
    </row>
    <row r="55" spans="1:15" s="6" customFormat="1" x14ac:dyDescent="0.2">
      <c r="A55" s="6" t="s">
        <v>1</v>
      </c>
      <c r="B55" s="134" t="s">
        <v>615</v>
      </c>
      <c r="C55" s="134" t="s">
        <v>615</v>
      </c>
      <c r="D55" s="7"/>
      <c r="E55" s="7"/>
      <c r="F55" s="7"/>
      <c r="G55" s="7">
        <f>IF(G42=0,IF(G54="","","*"&amp;TEXT(G54,"0.0x")),(G41+G42-G44)/G47)</f>
        <v>10.742857142857142</v>
      </c>
      <c r="H55" s="7">
        <f>IF(H42=0,IF(H54="","","*"&amp;TEXT(H54,"0.0x")),(H41+H42-H44)/H47)</f>
        <v>10.742857142857142</v>
      </c>
      <c r="I55" s="7"/>
      <c r="J55" s="7"/>
      <c r="K55" s="7"/>
      <c r="L55" s="7"/>
      <c r="M55" s="7"/>
      <c r="N55" s="7"/>
      <c r="O55" s="7" t="str">
        <f t="shared" ref="O55" si="2">IF(O42=0,IF(O54="","",CONCATENATE("* ",O54,"x")),(O41+O42-O44)/O47)</f>
        <v/>
      </c>
    </row>
    <row r="56" spans="1:15" x14ac:dyDescent="0.2">
      <c r="L56" s="3"/>
    </row>
    <row r="57" spans="1:15" ht="80.25" customHeight="1" x14ac:dyDescent="0.2">
      <c r="A57" s="5" t="s">
        <v>0</v>
      </c>
      <c r="B57" s="4" t="s">
        <v>104</v>
      </c>
      <c r="C57" s="4" t="s">
        <v>104</v>
      </c>
      <c r="D57" s="4" t="s">
        <v>104</v>
      </c>
      <c r="E57" s="4" t="s">
        <v>104</v>
      </c>
      <c r="F57" s="4" t="s">
        <v>104</v>
      </c>
      <c r="G57" s="4" t="s">
        <v>496</v>
      </c>
      <c r="H57" s="4" t="s">
        <v>104</v>
      </c>
      <c r="I57" s="4"/>
      <c r="J57" s="4"/>
      <c r="K57" s="4"/>
      <c r="L57" s="4"/>
      <c r="M57" s="4"/>
      <c r="N57" s="4"/>
      <c r="O57" s="4"/>
    </row>
    <row r="58" spans="1:15" x14ac:dyDescent="0.2">
      <c r="A58" s="2"/>
      <c r="B58" s="3"/>
      <c r="C58" s="3"/>
      <c r="D58" s="3"/>
      <c r="E58" s="3"/>
      <c r="F58" s="3"/>
      <c r="G58" s="3"/>
      <c r="H58" s="3"/>
    </row>
    <row r="59" spans="1:15" x14ac:dyDescent="0.2">
      <c r="A59" s="2"/>
    </row>
  </sheetData>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T45" sqref="T45"/>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484</v>
      </c>
    </row>
    <row r="3" spans="1:10" s="35" customFormat="1" x14ac:dyDescent="0.2">
      <c r="A3" s="36" t="s">
        <v>43</v>
      </c>
      <c r="B3" s="35" t="s">
        <v>485</v>
      </c>
    </row>
    <row r="4" spans="1:10" x14ac:dyDescent="0.2">
      <c r="A4" s="34" t="s">
        <v>41</v>
      </c>
      <c r="B4" s="1" t="s">
        <v>40</v>
      </c>
    </row>
    <row r="5" spans="1:10" x14ac:dyDescent="0.2">
      <c r="A5" s="34" t="s">
        <v>39</v>
      </c>
    </row>
    <row r="6" spans="1:10" x14ac:dyDescent="0.2">
      <c r="A6" s="34" t="s">
        <v>38</v>
      </c>
      <c r="B6" s="1" t="s">
        <v>486</v>
      </c>
    </row>
    <row r="7" spans="1:10" x14ac:dyDescent="0.2">
      <c r="A7" s="34" t="s">
        <v>37</v>
      </c>
      <c r="B7" s="1" t="s">
        <v>432</v>
      </c>
    </row>
    <row r="8" spans="1:10" x14ac:dyDescent="0.2">
      <c r="A8" s="34" t="s">
        <v>281</v>
      </c>
      <c r="B8" s="1" t="s">
        <v>487</v>
      </c>
    </row>
    <row r="9" spans="1:10" x14ac:dyDescent="0.2">
      <c r="A9" s="22"/>
    </row>
    <row r="10" spans="1:10" x14ac:dyDescent="0.2">
      <c r="A10" s="22" t="s">
        <v>36</v>
      </c>
      <c r="B10" s="33">
        <v>43921</v>
      </c>
      <c r="C10" s="33">
        <v>43830</v>
      </c>
      <c r="D10" s="33">
        <f>EOMONTH(C10,-3)</f>
        <v>43738</v>
      </c>
      <c r="E10" s="33">
        <f t="shared" ref="E10:J10" si="0">EOMONTH(D10,-3)</f>
        <v>43646</v>
      </c>
      <c r="F10" s="33">
        <f t="shared" si="0"/>
        <v>43555</v>
      </c>
      <c r="G10" s="33">
        <f t="shared" si="0"/>
        <v>43465</v>
      </c>
      <c r="H10" s="33">
        <f t="shared" si="0"/>
        <v>43373</v>
      </c>
      <c r="I10" s="33">
        <f t="shared" si="0"/>
        <v>43281</v>
      </c>
      <c r="J10" s="33">
        <f t="shared" si="0"/>
        <v>43190</v>
      </c>
    </row>
    <row r="12" spans="1:10" x14ac:dyDescent="0.2">
      <c r="A12" s="15" t="s">
        <v>35</v>
      </c>
      <c r="B12" s="19">
        <v>0</v>
      </c>
      <c r="C12" s="19">
        <v>0</v>
      </c>
      <c r="D12" s="19">
        <v>0</v>
      </c>
      <c r="E12" s="19">
        <v>0</v>
      </c>
      <c r="F12" s="19">
        <v>0</v>
      </c>
      <c r="G12" s="19">
        <v>0</v>
      </c>
      <c r="H12" s="19">
        <v>0</v>
      </c>
      <c r="I12" s="19">
        <v>0</v>
      </c>
      <c r="J12" s="19">
        <v>0</v>
      </c>
    </row>
    <row r="13" spans="1:10" s="28" customFormat="1" x14ac:dyDescent="0.2">
      <c r="A13" s="28" t="s">
        <v>34</v>
      </c>
      <c r="B13" s="28" t="e">
        <f>+B12/F12-1</f>
        <v>#DIV/0!</v>
      </c>
      <c r="C13" s="28" t="e">
        <f>+C12/G12-1</f>
        <v>#DIV/0!</v>
      </c>
      <c r="D13" s="28" t="e">
        <f t="shared" ref="D13:F13" si="1">+D12/H12-1</f>
        <v>#DIV/0!</v>
      </c>
      <c r="E13" s="28" t="e">
        <f t="shared" si="1"/>
        <v>#DIV/0!</v>
      </c>
      <c r="F13" s="28" t="e">
        <f t="shared" si="1"/>
        <v>#DIV/0!</v>
      </c>
    </row>
    <row r="14" spans="1:10" s="23" customFormat="1" x14ac:dyDescent="0.2">
      <c r="A14" s="31" t="s">
        <v>33</v>
      </c>
      <c r="B14" s="32" t="s">
        <v>32</v>
      </c>
      <c r="C14" s="32" t="s">
        <v>32</v>
      </c>
      <c r="D14" s="32" t="s">
        <v>32</v>
      </c>
      <c r="E14" s="32" t="s">
        <v>32</v>
      </c>
      <c r="F14" s="32" t="s">
        <v>32</v>
      </c>
      <c r="G14" s="31"/>
      <c r="H14" s="31"/>
      <c r="I14" s="31"/>
      <c r="J14" s="31"/>
    </row>
    <row r="16" spans="1:10" s="22" customFormat="1" x14ac:dyDescent="0.2">
      <c r="A16" s="30" t="s">
        <v>31</v>
      </c>
      <c r="B16" s="29">
        <v>0</v>
      </c>
      <c r="C16" s="29">
        <v>0</v>
      </c>
      <c r="D16" s="29">
        <v>0</v>
      </c>
      <c r="E16" s="29">
        <v>0</v>
      </c>
      <c r="F16" s="29">
        <v>0</v>
      </c>
      <c r="G16" s="29">
        <v>0</v>
      </c>
      <c r="H16" s="29">
        <v>0</v>
      </c>
      <c r="I16" s="29">
        <v>0</v>
      </c>
      <c r="J16" s="29">
        <v>0</v>
      </c>
    </row>
    <row r="17" spans="1:10" s="28" customFormat="1" x14ac:dyDescent="0.2">
      <c r="A17" s="28" t="s">
        <v>30</v>
      </c>
      <c r="B17" s="28" t="e">
        <f>+B16/B12</f>
        <v>#DIV/0!</v>
      </c>
      <c r="C17" s="28" t="e">
        <f>+C16/C12</f>
        <v>#DIV/0!</v>
      </c>
      <c r="D17" s="28" t="e">
        <f t="shared" ref="D17:J17" si="2">+D16/D12</f>
        <v>#DIV/0!</v>
      </c>
      <c r="E17" s="28" t="e">
        <f t="shared" si="2"/>
        <v>#DIV/0!</v>
      </c>
      <c r="F17" s="28" t="e">
        <f t="shared" si="2"/>
        <v>#DIV/0!</v>
      </c>
      <c r="G17" s="28" t="e">
        <f t="shared" si="2"/>
        <v>#DIV/0!</v>
      </c>
      <c r="H17" s="28" t="e">
        <f t="shared" si="2"/>
        <v>#DIV/0!</v>
      </c>
      <c r="I17" s="28" t="e">
        <f t="shared" si="2"/>
        <v>#DIV/0!</v>
      </c>
      <c r="J17" s="28" t="e">
        <f t="shared" si="2"/>
        <v>#DIV/0!</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0</v>
      </c>
      <c r="C22" s="20">
        <f>SUM(C16,C19:C21)</f>
        <v>0</v>
      </c>
      <c r="D22" s="20">
        <f t="shared" ref="D22:J22" si="3">SUM(D16,D19:D21)</f>
        <v>0</v>
      </c>
      <c r="E22" s="20">
        <f t="shared" si="3"/>
        <v>0</v>
      </c>
      <c r="F22" s="20">
        <f t="shared" si="3"/>
        <v>0</v>
      </c>
      <c r="G22" s="20">
        <f t="shared" si="3"/>
        <v>0</v>
      </c>
      <c r="H22" s="20">
        <f t="shared" si="3"/>
        <v>0</v>
      </c>
      <c r="I22" s="20">
        <f t="shared" si="3"/>
        <v>0</v>
      </c>
      <c r="J22" s="20">
        <f t="shared" si="3"/>
        <v>0</v>
      </c>
    </row>
    <row r="23" spans="1:10" s="22" customFormat="1" x14ac:dyDescent="0.2">
      <c r="B23" s="20"/>
      <c r="C23" s="20"/>
      <c r="D23" s="20"/>
      <c r="E23" s="20"/>
      <c r="F23" s="20"/>
      <c r="G23" s="20"/>
      <c r="H23" s="20"/>
      <c r="I23" s="20"/>
      <c r="J23" s="20"/>
    </row>
    <row r="24" spans="1:10" s="22" customFormat="1" x14ac:dyDescent="0.2">
      <c r="A24" s="22" t="s">
        <v>27</v>
      </c>
      <c r="B24" s="20">
        <f>SUM(B22:E22)</f>
        <v>0</v>
      </c>
      <c r="C24" s="20">
        <f>SUM(C22:F22)</f>
        <v>0</v>
      </c>
      <c r="D24" s="20">
        <f t="shared" ref="D24:G24" si="4">SUM(D22:G22)</f>
        <v>0</v>
      </c>
      <c r="E24" s="20">
        <f t="shared" si="4"/>
        <v>0</v>
      </c>
      <c r="F24" s="20">
        <f t="shared" si="4"/>
        <v>0</v>
      </c>
      <c r="G24" s="20">
        <f t="shared" si="4"/>
        <v>0</v>
      </c>
      <c r="H24" s="20"/>
      <c r="I24" s="20"/>
      <c r="J24" s="20"/>
    </row>
    <row r="25" spans="1:10" s="23" customFormat="1" x14ac:dyDescent="0.2">
      <c r="A25" s="15" t="s">
        <v>26</v>
      </c>
      <c r="B25" s="27">
        <v>0</v>
      </c>
      <c r="C25" s="27">
        <v>0</v>
      </c>
      <c r="D25" s="27">
        <v>0</v>
      </c>
      <c r="E25" s="27">
        <v>0</v>
      </c>
      <c r="F25" s="27">
        <v>0</v>
      </c>
      <c r="G25" s="27">
        <v>0</v>
      </c>
      <c r="H25" s="27">
        <v>0</v>
      </c>
      <c r="I25" s="27">
        <v>0</v>
      </c>
      <c r="J25" s="27">
        <v>0</v>
      </c>
    </row>
    <row r="26" spans="1:10" s="23" customFormat="1" x14ac:dyDescent="0.2">
      <c r="A26" s="15" t="s">
        <v>25</v>
      </c>
      <c r="B26" s="21">
        <v>0</v>
      </c>
      <c r="C26" s="21">
        <v>0</v>
      </c>
      <c r="D26" s="21">
        <v>0</v>
      </c>
      <c r="E26" s="21">
        <v>0</v>
      </c>
      <c r="F26" s="21">
        <v>0</v>
      </c>
      <c r="G26" s="21">
        <v>0</v>
      </c>
      <c r="H26" s="26"/>
      <c r="I26" s="26"/>
      <c r="J26" s="26"/>
    </row>
    <row r="27" spans="1:10" s="24" customFormat="1" x14ac:dyDescent="0.2">
      <c r="A27" s="22" t="s">
        <v>24</v>
      </c>
      <c r="B27" s="20">
        <f>SUM(B24:B26)</f>
        <v>0</v>
      </c>
      <c r="C27" s="20">
        <f>SUM(C24:C26)</f>
        <v>0</v>
      </c>
      <c r="D27" s="20">
        <f t="shared" ref="D27:G27" si="5">SUM(D24:D26)</f>
        <v>0</v>
      </c>
      <c r="E27" s="20">
        <f t="shared" si="5"/>
        <v>0</v>
      </c>
      <c r="F27" s="20">
        <f t="shared" si="5"/>
        <v>0</v>
      </c>
      <c r="G27" s="20">
        <f t="shared" si="5"/>
        <v>0</v>
      </c>
      <c r="H27" s="25"/>
      <c r="I27" s="25"/>
      <c r="J27" s="25"/>
    </row>
    <row r="28" spans="1:10" s="23" customFormat="1" x14ac:dyDescent="0.2"/>
    <row r="29" spans="1:10" s="22" customFormat="1" x14ac:dyDescent="0.2">
      <c r="A29" s="22" t="s">
        <v>23</v>
      </c>
      <c r="B29" s="20">
        <f t="shared" ref="B29" si="6">B22</f>
        <v>0</v>
      </c>
      <c r="C29" s="20">
        <f t="shared" ref="C29:J29" si="7">C22</f>
        <v>0</v>
      </c>
      <c r="D29" s="20">
        <f t="shared" si="7"/>
        <v>0</v>
      </c>
      <c r="E29" s="20">
        <f t="shared" si="7"/>
        <v>0</v>
      </c>
      <c r="F29" s="20">
        <f t="shared" si="7"/>
        <v>0</v>
      </c>
      <c r="G29" s="20">
        <f t="shared" si="7"/>
        <v>0</v>
      </c>
      <c r="H29" s="20">
        <f t="shared" si="7"/>
        <v>0</v>
      </c>
      <c r="I29" s="20">
        <f t="shared" si="7"/>
        <v>0</v>
      </c>
      <c r="J29" s="20">
        <f t="shared" si="7"/>
        <v>0</v>
      </c>
    </row>
    <row r="30" spans="1:10" s="11" customFormat="1" x14ac:dyDescent="0.2">
      <c r="A30" s="19" t="s">
        <v>22</v>
      </c>
      <c r="B30" s="19">
        <v>0</v>
      </c>
      <c r="C30" s="19">
        <v>0</v>
      </c>
      <c r="D30" s="19">
        <v>0</v>
      </c>
      <c r="E30" s="19">
        <v>0</v>
      </c>
      <c r="F30" s="19">
        <v>0</v>
      </c>
      <c r="G30" s="19">
        <v>0</v>
      </c>
      <c r="H30" s="19">
        <v>0</v>
      </c>
      <c r="I30" s="19">
        <v>0</v>
      </c>
      <c r="J30" s="19">
        <v>0</v>
      </c>
    </row>
    <row r="31" spans="1:10" s="11" customFormat="1" x14ac:dyDescent="0.2">
      <c r="A31" s="19" t="s">
        <v>21</v>
      </c>
      <c r="B31" s="19">
        <v>0</v>
      </c>
      <c r="C31" s="19">
        <v>0</v>
      </c>
      <c r="D31" s="19">
        <v>0</v>
      </c>
      <c r="E31" s="19">
        <v>0</v>
      </c>
      <c r="F31" s="19">
        <v>0</v>
      </c>
      <c r="G31" s="19">
        <v>0</v>
      </c>
      <c r="H31" s="19">
        <v>0</v>
      </c>
      <c r="I31" s="19">
        <v>0</v>
      </c>
      <c r="J31" s="19">
        <v>0</v>
      </c>
    </row>
    <row r="32" spans="1:10" s="11" customFormat="1" x14ac:dyDescent="0.2">
      <c r="A32" s="19" t="s">
        <v>20</v>
      </c>
      <c r="B32" s="19">
        <v>0</v>
      </c>
      <c r="C32" s="19">
        <v>0</v>
      </c>
      <c r="D32" s="19">
        <v>0</v>
      </c>
      <c r="E32" s="19">
        <v>0</v>
      </c>
      <c r="F32" s="19">
        <v>0</v>
      </c>
      <c r="G32" s="19">
        <v>0</v>
      </c>
      <c r="H32" s="19">
        <v>0</v>
      </c>
      <c r="I32" s="19">
        <v>0</v>
      </c>
      <c r="J32" s="19">
        <v>0</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0</v>
      </c>
      <c r="C35" s="20">
        <v>0</v>
      </c>
      <c r="D35" s="20">
        <v>0</v>
      </c>
      <c r="E35" s="20">
        <v>0</v>
      </c>
      <c r="F35" s="20">
        <v>0</v>
      </c>
      <c r="G35" s="20">
        <v>0</v>
      </c>
      <c r="H35" s="20">
        <v>0</v>
      </c>
      <c r="I35" s="20">
        <v>0</v>
      </c>
      <c r="J35" s="20">
        <v>0</v>
      </c>
    </row>
    <row r="36" spans="1:10" s="11" customFormat="1" x14ac:dyDescent="0.2">
      <c r="A36" s="19" t="s">
        <v>16</v>
      </c>
      <c r="B36" s="21">
        <v>0</v>
      </c>
      <c r="C36" s="21">
        <v>0</v>
      </c>
      <c r="D36" s="21">
        <v>0</v>
      </c>
      <c r="E36" s="21">
        <v>0</v>
      </c>
      <c r="F36" s="21">
        <v>0</v>
      </c>
      <c r="G36" s="21">
        <v>0</v>
      </c>
      <c r="H36" s="21">
        <v>0</v>
      </c>
      <c r="I36" s="21">
        <v>0</v>
      </c>
      <c r="J36" s="21">
        <v>0</v>
      </c>
    </row>
    <row r="37" spans="1:10" s="20" customFormat="1" x14ac:dyDescent="0.2">
      <c r="A37" s="20" t="s">
        <v>15</v>
      </c>
      <c r="B37" s="20">
        <f>+B35+B36</f>
        <v>0</v>
      </c>
      <c r="C37" s="20">
        <f>+C35+C36</f>
        <v>0</v>
      </c>
      <c r="D37" s="20">
        <f t="shared" ref="D37:J37" si="8">+D35+D36</f>
        <v>0</v>
      </c>
      <c r="E37" s="20">
        <f t="shared" si="8"/>
        <v>0</v>
      </c>
      <c r="F37" s="20">
        <f t="shared" si="8"/>
        <v>0</v>
      </c>
      <c r="G37" s="20">
        <f t="shared" si="8"/>
        <v>0</v>
      </c>
      <c r="H37" s="20">
        <f t="shared" si="8"/>
        <v>0</v>
      </c>
      <c r="I37" s="20">
        <f t="shared" si="8"/>
        <v>0</v>
      </c>
      <c r="J37" s="20">
        <f t="shared" si="8"/>
        <v>0</v>
      </c>
    </row>
    <row r="39" spans="1:10" s="16" customFormat="1" x14ac:dyDescent="0.2">
      <c r="A39" s="18" t="s">
        <v>14</v>
      </c>
      <c r="B39" s="19">
        <v>0</v>
      </c>
      <c r="C39" s="19">
        <v>0</v>
      </c>
      <c r="D39" s="19"/>
      <c r="E39" s="19"/>
      <c r="F39" s="19"/>
      <c r="G39" s="19"/>
      <c r="H39" s="19"/>
      <c r="I39" s="19"/>
      <c r="J39" s="19"/>
    </row>
    <row r="40" spans="1:10" s="16" customFormat="1" x14ac:dyDescent="0.2">
      <c r="A40" s="18" t="s">
        <v>13</v>
      </c>
      <c r="B40" s="19">
        <v>615</v>
      </c>
      <c r="C40" s="19">
        <v>615</v>
      </c>
      <c r="D40" s="19"/>
      <c r="E40" s="19"/>
      <c r="F40" s="19"/>
      <c r="G40" s="19"/>
      <c r="H40" s="19"/>
      <c r="I40" s="19"/>
      <c r="J40" s="19"/>
    </row>
    <row r="41" spans="1:10" s="16" customFormat="1" x14ac:dyDescent="0.2">
      <c r="A41" s="18" t="s">
        <v>12</v>
      </c>
      <c r="B41" s="19">
        <f>B39+B40</f>
        <v>615</v>
      </c>
      <c r="C41" s="19">
        <f>C39+C40</f>
        <v>615</v>
      </c>
      <c r="D41" s="19"/>
      <c r="E41" s="19"/>
      <c r="F41" s="19"/>
      <c r="G41" s="19"/>
      <c r="H41" s="19"/>
      <c r="I41" s="19"/>
      <c r="J41" s="19"/>
    </row>
    <row r="42" spans="1:10" s="16" customFormat="1" x14ac:dyDescent="0.2">
      <c r="A42" s="18" t="s">
        <v>11</v>
      </c>
      <c r="B42" s="17">
        <v>3767.79</v>
      </c>
      <c r="C42" s="17">
        <v>3767.79</v>
      </c>
      <c r="D42" s="17"/>
      <c r="E42" s="17"/>
      <c r="F42" s="17"/>
      <c r="G42" s="17"/>
      <c r="H42" s="17"/>
      <c r="I42" s="17"/>
      <c r="J42" s="17"/>
    </row>
    <row r="43" spans="1:10" x14ac:dyDescent="0.2">
      <c r="B43" s="16"/>
      <c r="C43" s="16"/>
      <c r="D43" s="16"/>
      <c r="E43" s="16"/>
    </row>
    <row r="44" spans="1:10" x14ac:dyDescent="0.2">
      <c r="A44" s="15" t="s">
        <v>10</v>
      </c>
      <c r="B44" s="27">
        <v>580</v>
      </c>
      <c r="C44" s="27">
        <v>250</v>
      </c>
      <c r="D44" s="27"/>
      <c r="E44" s="27"/>
      <c r="F44" s="27"/>
      <c r="G44" s="27"/>
      <c r="H44" s="27"/>
      <c r="I44" s="14"/>
      <c r="J44" s="14"/>
    </row>
    <row r="46" spans="1:10" x14ac:dyDescent="0.2">
      <c r="A46" s="1" t="s">
        <v>9</v>
      </c>
      <c r="B46" s="12"/>
      <c r="C46" s="12">
        <v>2126</v>
      </c>
      <c r="D46" s="11"/>
      <c r="E46" s="11"/>
      <c r="F46" s="11"/>
      <c r="G46" s="11"/>
    </row>
    <row r="47" spans="1:10" x14ac:dyDescent="0.2">
      <c r="A47" s="1" t="s">
        <v>8</v>
      </c>
      <c r="B47" s="12">
        <v>483</v>
      </c>
      <c r="C47" s="12">
        <v>487</v>
      </c>
      <c r="D47" s="11"/>
      <c r="E47" s="11"/>
      <c r="F47" s="11"/>
      <c r="G47" s="11"/>
    </row>
    <row r="48" spans="1:10" x14ac:dyDescent="0.2">
      <c r="A48" s="1" t="s">
        <v>7</v>
      </c>
      <c r="B48" s="12"/>
      <c r="C48" s="12">
        <v>168.55700000000002</v>
      </c>
      <c r="D48" s="11"/>
      <c r="E48" s="11"/>
      <c r="F48" s="11"/>
      <c r="G48" s="11"/>
    </row>
    <row r="50" spans="1:10" s="10" customFormat="1" x14ac:dyDescent="0.2">
      <c r="A50" s="10" t="s">
        <v>6</v>
      </c>
      <c r="B50" s="10">
        <f>+SUM(B39:B40)/B47</f>
        <v>1.2732919254658386</v>
      </c>
      <c r="C50" s="10">
        <f>+SUM(C39:C40)/C47</f>
        <v>1.2628336755646816</v>
      </c>
    </row>
    <row r="51" spans="1:10" s="10" customFormat="1" x14ac:dyDescent="0.2">
      <c r="A51" s="10" t="s">
        <v>5</v>
      </c>
      <c r="B51" s="10">
        <f>+B41/B47</f>
        <v>1.2732919254658386</v>
      </c>
      <c r="C51" s="10">
        <f>+C41/C47</f>
        <v>1.2628336755646816</v>
      </c>
    </row>
    <row r="52" spans="1:10" s="10" customFormat="1" x14ac:dyDescent="0.2">
      <c r="A52" s="10" t="s">
        <v>4</v>
      </c>
      <c r="B52" s="10">
        <f>+(B41-B44)/B47</f>
        <v>7.2463768115942032E-2</v>
      </c>
      <c r="C52" s="10">
        <f>+(C41-C44)/C47</f>
        <v>0.74948665297741268</v>
      </c>
    </row>
    <row r="53" spans="1:10" s="6" customFormat="1" x14ac:dyDescent="0.2">
      <c r="A53" s="6" t="s">
        <v>3</v>
      </c>
      <c r="B53" s="6">
        <f>+B48/B41</f>
        <v>0</v>
      </c>
      <c r="C53" s="6">
        <f>+C48/C41</f>
        <v>0.27407642276422767</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7.8732712215320912</v>
      </c>
      <c r="C55" s="7">
        <f>IF(C42=0,IF(C54="","","*"&amp;TEXT(C54,"0.0x")),(C41+C42-C44)/C47)</f>
        <v>8.4862217659137578</v>
      </c>
      <c r="D55" s="7"/>
      <c r="E55" s="7"/>
      <c r="F55" s="7"/>
      <c r="G55" s="7"/>
      <c r="H55" s="7"/>
      <c r="I55" s="7" t="str">
        <f t="shared" ref="I55:J55" si="9">IF(I42=0,IF(I54="","",CONCATENATE("* ",I54,"x")),(I41+I42-I44)/I47)</f>
        <v/>
      </c>
      <c r="J55" s="7" t="str">
        <f t="shared" si="9"/>
        <v/>
      </c>
    </row>
    <row r="56" spans="1:10" x14ac:dyDescent="0.2">
      <c r="G56" s="3"/>
    </row>
    <row r="57" spans="1:10" ht="80.25" customHeight="1" x14ac:dyDescent="0.2">
      <c r="A57" s="5" t="s">
        <v>0</v>
      </c>
      <c r="B57" s="4" t="s">
        <v>515</v>
      </c>
      <c r="C57" s="4" t="s">
        <v>104</v>
      </c>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legacy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CF7EC-4392-4436-A623-5F029BDD5063}">
  <dimension ref="A2:O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5" width="10.7109375" style="1" customWidth="1"/>
    <col min="16" max="16384" width="9.140625" style="1"/>
  </cols>
  <sheetData>
    <row r="2" spans="1:15" x14ac:dyDescent="0.2">
      <c r="A2" s="34" t="s">
        <v>45</v>
      </c>
      <c r="B2" s="1" t="s">
        <v>524</v>
      </c>
    </row>
    <row r="3" spans="1:15" s="35" customFormat="1" x14ac:dyDescent="0.2">
      <c r="A3" s="36" t="s">
        <v>43</v>
      </c>
      <c r="B3" s="35" t="s">
        <v>527</v>
      </c>
    </row>
    <row r="4" spans="1:15" x14ac:dyDescent="0.2">
      <c r="A4" s="34" t="s">
        <v>41</v>
      </c>
      <c r="B4" s="1" t="s">
        <v>40</v>
      </c>
    </row>
    <row r="5" spans="1:15" x14ac:dyDescent="0.2">
      <c r="A5" s="34" t="s">
        <v>39</v>
      </c>
    </row>
    <row r="6" spans="1:15" x14ac:dyDescent="0.2">
      <c r="A6" s="34" t="s">
        <v>38</v>
      </c>
      <c r="B6" s="1">
        <v>3</v>
      </c>
    </row>
    <row r="7" spans="1:15" x14ac:dyDescent="0.2">
      <c r="A7" s="34" t="s">
        <v>37</v>
      </c>
      <c r="B7" s="1" t="s">
        <v>529</v>
      </c>
    </row>
    <row r="8" spans="1:15" x14ac:dyDescent="0.2">
      <c r="A8" s="34" t="s">
        <v>281</v>
      </c>
      <c r="B8" s="1" t="s">
        <v>528</v>
      </c>
    </row>
    <row r="9" spans="1:15" x14ac:dyDescent="0.2">
      <c r="A9" s="22"/>
    </row>
    <row r="10" spans="1:15" x14ac:dyDescent="0.2">
      <c r="A10" s="22" t="s">
        <v>36</v>
      </c>
      <c r="B10" s="33">
        <v>44377</v>
      </c>
      <c r="C10" s="33">
        <v>44286</v>
      </c>
      <c r="D10" s="33">
        <v>44196</v>
      </c>
      <c r="E10" s="33">
        <v>44104</v>
      </c>
      <c r="F10" s="33">
        <v>44012</v>
      </c>
      <c r="G10" s="33">
        <f>EOMONTH(F10,-3)</f>
        <v>43921</v>
      </c>
      <c r="H10" s="33">
        <f t="shared" ref="H10:O10" si="0">EOMONTH(G10,-3)</f>
        <v>43830</v>
      </c>
      <c r="I10" s="33">
        <f t="shared" si="0"/>
        <v>43738</v>
      </c>
      <c r="J10" s="33">
        <f t="shared" si="0"/>
        <v>43646</v>
      </c>
      <c r="K10" s="33">
        <f t="shared" si="0"/>
        <v>43555</v>
      </c>
      <c r="L10" s="33">
        <f t="shared" si="0"/>
        <v>43465</v>
      </c>
      <c r="M10" s="33">
        <f t="shared" si="0"/>
        <v>43373</v>
      </c>
      <c r="N10" s="33">
        <f t="shared" si="0"/>
        <v>43281</v>
      </c>
      <c r="O10" s="33">
        <f t="shared" si="0"/>
        <v>43190</v>
      </c>
    </row>
    <row r="12" spans="1:15" x14ac:dyDescent="0.2">
      <c r="A12" s="15" t="s">
        <v>35</v>
      </c>
      <c r="B12" s="19">
        <v>793.71100000000001</v>
      </c>
      <c r="C12" s="19">
        <v>751.55799999999999</v>
      </c>
      <c r="D12" s="19">
        <v>1438.0580000000004</v>
      </c>
      <c r="E12" s="19">
        <v>452.90099999999995</v>
      </c>
      <c r="F12" s="19">
        <v>396.25100000000003</v>
      </c>
      <c r="G12" s="19">
        <v>445.73600000000005</v>
      </c>
      <c r="H12" s="19">
        <v>1015.772</v>
      </c>
      <c r="I12" s="19">
        <v>454.35399999999998</v>
      </c>
      <c r="J12" s="19">
        <v>485.274</v>
      </c>
      <c r="K12" s="19">
        <v>432.59100000000001</v>
      </c>
      <c r="L12" s="19">
        <v>998.36500000000001</v>
      </c>
      <c r="M12" s="19">
        <v>435.6989999999999</v>
      </c>
      <c r="N12" s="19">
        <v>493.25100000000009</v>
      </c>
      <c r="O12" s="19">
        <v>429.20799999999997</v>
      </c>
    </row>
    <row r="13" spans="1:15" s="28" customFormat="1" x14ac:dyDescent="0.2">
      <c r="A13" s="28" t="s">
        <v>34</v>
      </c>
      <c r="B13" s="28">
        <f>+B12/F12-1</f>
        <v>1.0030510964010184</v>
      </c>
      <c r="C13" s="28">
        <f>+C12/G12-1</f>
        <v>0.6861056769029199</v>
      </c>
      <c r="D13" s="28">
        <f>+D12/H12-1</f>
        <v>0.41572912031440157</v>
      </c>
      <c r="E13" s="28">
        <f>+E12/I12-1</f>
        <v>-3.1979469752660972E-3</v>
      </c>
      <c r="F13" s="28">
        <f>+F12/J12-1</f>
        <v>-0.18344893812567742</v>
      </c>
      <c r="G13" s="28">
        <f t="shared" ref="G13:H13" si="1">+G12/K12-1</f>
        <v>3.0386670087912293E-2</v>
      </c>
      <c r="H13" s="28">
        <f t="shared" si="1"/>
        <v>1.7435507054033295E-2</v>
      </c>
      <c r="I13" s="28">
        <f>+I12/O12-1</f>
        <v>5.8586978807477985E-2</v>
      </c>
    </row>
    <row r="14" spans="1:15" s="23" customFormat="1" x14ac:dyDescent="0.2">
      <c r="A14" s="31" t="s">
        <v>33</v>
      </c>
      <c r="B14" s="32" t="s">
        <v>32</v>
      </c>
      <c r="C14" s="32" t="s">
        <v>32</v>
      </c>
      <c r="D14" s="32" t="s">
        <v>32</v>
      </c>
      <c r="E14" s="32" t="s">
        <v>32</v>
      </c>
      <c r="F14" s="32" t="s">
        <v>32</v>
      </c>
      <c r="G14" s="32" t="s">
        <v>32</v>
      </c>
      <c r="H14" s="32" t="s">
        <v>32</v>
      </c>
      <c r="I14" s="32" t="s">
        <v>32</v>
      </c>
      <c r="J14" s="31"/>
      <c r="K14" s="31"/>
      <c r="L14" s="31"/>
      <c r="M14" s="31"/>
      <c r="N14" s="31"/>
      <c r="O14" s="31"/>
    </row>
    <row r="16" spans="1:15" s="22" customFormat="1" x14ac:dyDescent="0.2">
      <c r="A16" s="30" t="s">
        <v>31</v>
      </c>
      <c r="B16" s="29">
        <v>63</v>
      </c>
      <c r="C16" s="29">
        <v>29</v>
      </c>
      <c r="D16" s="29">
        <v>193.15499999999949</v>
      </c>
      <c r="E16" s="29">
        <v>41</v>
      </c>
      <c r="F16" s="29">
        <v>22</v>
      </c>
      <c r="G16" s="29">
        <v>32.844999999999999</v>
      </c>
      <c r="H16" s="29">
        <v>184</v>
      </c>
      <c r="I16" s="29">
        <v>40</v>
      </c>
      <c r="J16" s="29">
        <v>46</v>
      </c>
      <c r="K16" s="29">
        <v>38</v>
      </c>
      <c r="L16" s="29">
        <v>162</v>
      </c>
      <c r="M16" s="29">
        <v>32.999999999999986</v>
      </c>
      <c r="N16" s="29">
        <v>47</v>
      </c>
      <c r="O16" s="29">
        <v>24</v>
      </c>
    </row>
    <row r="17" spans="1:15" s="28" customFormat="1" x14ac:dyDescent="0.2">
      <c r="A17" s="28" t="s">
        <v>30</v>
      </c>
      <c r="B17" s="28">
        <f>+B16/B12</f>
        <v>7.9373978689976574E-2</v>
      </c>
      <c r="C17" s="28">
        <f>+C16/C12</f>
        <v>3.8586509624007725E-2</v>
      </c>
      <c r="D17" s="28">
        <f>+D16/D12</f>
        <v>0.13431655746847446</v>
      </c>
      <c r="E17" s="28">
        <f>+E16/E12</f>
        <v>9.0527510427223623E-2</v>
      </c>
      <c r="F17" s="28">
        <f>+F16/F12</f>
        <v>5.5520364617376354E-2</v>
      </c>
      <c r="G17" s="28">
        <f t="shared" ref="G17:L17" si="2">+G16/G12</f>
        <v>7.3687115243103535E-2</v>
      </c>
      <c r="H17" s="28">
        <f t="shared" si="2"/>
        <v>0.18114301240829633</v>
      </c>
      <c r="I17" s="28">
        <f t="shared" si="2"/>
        <v>8.8037081218609287E-2</v>
      </c>
      <c r="J17" s="28">
        <f t="shared" si="2"/>
        <v>9.4791808339206307E-2</v>
      </c>
      <c r="K17" s="28">
        <f t="shared" si="2"/>
        <v>8.784278914725456E-2</v>
      </c>
      <c r="L17" s="28">
        <f t="shared" si="2"/>
        <v>0.16226530377166667</v>
      </c>
      <c r="M17" s="28">
        <f t="shared" ref="M17:O17" si="3">+M16/M12</f>
        <v>7.5740362038930531E-2</v>
      </c>
      <c r="N17" s="28">
        <f t="shared" si="3"/>
        <v>9.5286172759913287E-2</v>
      </c>
      <c r="O17" s="28">
        <f t="shared" si="3"/>
        <v>5.59169446981417E-2</v>
      </c>
    </row>
    <row r="18" spans="1:15" s="23" customFormat="1" x14ac:dyDescent="0.2"/>
    <row r="19" spans="1:15" s="23" customFormat="1" x14ac:dyDescent="0.2">
      <c r="A19" s="15" t="s">
        <v>29</v>
      </c>
      <c r="B19" s="19">
        <v>0</v>
      </c>
      <c r="C19" s="19">
        <v>0</v>
      </c>
      <c r="D19" s="19">
        <v>0</v>
      </c>
      <c r="E19" s="19">
        <v>0</v>
      </c>
      <c r="F19" s="19">
        <v>0</v>
      </c>
      <c r="G19" s="19">
        <v>0</v>
      </c>
      <c r="H19" s="19">
        <v>0</v>
      </c>
      <c r="I19" s="19">
        <v>0</v>
      </c>
      <c r="J19" s="19">
        <v>0</v>
      </c>
      <c r="K19" s="19">
        <v>0</v>
      </c>
      <c r="L19" s="19">
        <v>0</v>
      </c>
      <c r="M19" s="19">
        <v>0</v>
      </c>
      <c r="N19" s="19">
        <v>0</v>
      </c>
      <c r="O19" s="19">
        <v>0</v>
      </c>
    </row>
    <row r="20" spans="1:15" s="23" customFormat="1" x14ac:dyDescent="0.2">
      <c r="A20" s="15" t="s">
        <v>28</v>
      </c>
      <c r="B20" s="19">
        <v>0</v>
      </c>
      <c r="C20" s="19">
        <v>0</v>
      </c>
      <c r="D20" s="19">
        <v>0</v>
      </c>
      <c r="E20" s="19">
        <v>0</v>
      </c>
      <c r="F20" s="19">
        <v>0</v>
      </c>
      <c r="G20" s="19">
        <v>0</v>
      </c>
      <c r="H20" s="19">
        <v>0</v>
      </c>
      <c r="I20" s="19">
        <v>0</v>
      </c>
      <c r="J20" s="19">
        <v>0</v>
      </c>
      <c r="K20" s="19">
        <v>0</v>
      </c>
      <c r="L20" s="19">
        <v>0</v>
      </c>
      <c r="M20" s="19">
        <v>0</v>
      </c>
      <c r="N20" s="19">
        <v>0</v>
      </c>
      <c r="O20" s="19">
        <v>0</v>
      </c>
    </row>
    <row r="21" spans="1:15" s="23" customFormat="1" x14ac:dyDescent="0.2">
      <c r="A21" s="15" t="s">
        <v>18</v>
      </c>
      <c r="B21" s="19">
        <v>0</v>
      </c>
      <c r="C21" s="19">
        <v>0</v>
      </c>
      <c r="D21" s="19">
        <v>0</v>
      </c>
      <c r="E21" s="19">
        <v>0</v>
      </c>
      <c r="F21" s="19">
        <v>0</v>
      </c>
      <c r="G21" s="19">
        <v>0</v>
      </c>
      <c r="H21" s="19">
        <v>0</v>
      </c>
      <c r="I21" s="19">
        <v>0</v>
      </c>
      <c r="J21" s="19">
        <v>0</v>
      </c>
      <c r="K21" s="19">
        <v>0</v>
      </c>
      <c r="L21" s="19">
        <v>0</v>
      </c>
      <c r="M21" s="19">
        <v>0</v>
      </c>
      <c r="N21" s="19">
        <v>0</v>
      </c>
      <c r="O21" s="19">
        <v>0</v>
      </c>
    </row>
    <row r="22" spans="1:15" s="22" customFormat="1" x14ac:dyDescent="0.2">
      <c r="A22" s="22" t="s">
        <v>23</v>
      </c>
      <c r="B22" s="20">
        <f>SUM(B16,B19:B21)</f>
        <v>63</v>
      </c>
      <c r="C22" s="20">
        <f>SUM(C16,C19:C21)</f>
        <v>29</v>
      </c>
      <c r="D22" s="20">
        <f>SUM(D16,D19:D21)</f>
        <v>193.15499999999949</v>
      </c>
      <c r="E22" s="20">
        <f>SUM(E16,E19:E21)</f>
        <v>41</v>
      </c>
      <c r="F22" s="20">
        <f>SUM(F16,F19:F21)</f>
        <v>22</v>
      </c>
      <c r="G22" s="20">
        <f t="shared" ref="G22:L22" si="4">SUM(G16,G19:G21)</f>
        <v>32.844999999999999</v>
      </c>
      <c r="H22" s="20">
        <f t="shared" si="4"/>
        <v>184</v>
      </c>
      <c r="I22" s="20">
        <f t="shared" si="4"/>
        <v>40</v>
      </c>
      <c r="J22" s="20">
        <f t="shared" si="4"/>
        <v>46</v>
      </c>
      <c r="K22" s="20">
        <f t="shared" si="4"/>
        <v>38</v>
      </c>
      <c r="L22" s="20">
        <f t="shared" si="4"/>
        <v>162</v>
      </c>
      <c r="M22" s="20">
        <f t="shared" ref="M22:O22" si="5">SUM(M16,M19:M21)</f>
        <v>32.999999999999986</v>
      </c>
      <c r="N22" s="20">
        <f t="shared" si="5"/>
        <v>47</v>
      </c>
      <c r="O22" s="20">
        <f t="shared" si="5"/>
        <v>24</v>
      </c>
    </row>
    <row r="23" spans="1:15" s="22" customFormat="1" x14ac:dyDescent="0.2">
      <c r="B23" s="20"/>
      <c r="C23" s="20"/>
      <c r="D23" s="20"/>
      <c r="E23" s="20"/>
      <c r="F23" s="20"/>
      <c r="G23" s="20"/>
      <c r="H23" s="20"/>
      <c r="I23" s="20"/>
      <c r="J23" s="20"/>
      <c r="K23" s="20"/>
      <c r="L23" s="20"/>
      <c r="M23" s="20"/>
      <c r="N23" s="20"/>
      <c r="O23" s="20"/>
    </row>
    <row r="24" spans="1:15" s="22" customFormat="1" x14ac:dyDescent="0.2">
      <c r="A24" s="22" t="s">
        <v>27</v>
      </c>
      <c r="B24" s="20">
        <f>SUM(B22:E22)</f>
        <v>326.15499999999952</v>
      </c>
      <c r="C24" s="20">
        <f>SUM(C22:F22)</f>
        <v>285.15499999999952</v>
      </c>
      <c r="D24" s="20">
        <f>SUM(D22:G22)</f>
        <v>288.99999999999955</v>
      </c>
      <c r="E24" s="20">
        <f>SUM(E22:H22)</f>
        <v>279.84500000000003</v>
      </c>
      <c r="F24" s="20">
        <f>SUM(F22:I22)</f>
        <v>278.84500000000003</v>
      </c>
      <c r="G24" s="20">
        <f t="shared" ref="G24:L24" si="6">SUM(G22:J22)</f>
        <v>302.84500000000003</v>
      </c>
      <c r="H24" s="20">
        <f t="shared" si="6"/>
        <v>308</v>
      </c>
      <c r="I24" s="20">
        <f t="shared" si="6"/>
        <v>286</v>
      </c>
      <c r="J24" s="20">
        <f t="shared" si="6"/>
        <v>279</v>
      </c>
      <c r="K24" s="20">
        <f t="shared" si="6"/>
        <v>280</v>
      </c>
      <c r="L24" s="20">
        <f t="shared" si="6"/>
        <v>266</v>
      </c>
      <c r="M24" s="20"/>
      <c r="N24" s="20"/>
      <c r="O24" s="20"/>
    </row>
    <row r="25" spans="1:15" s="23" customFormat="1" x14ac:dyDescent="0.2">
      <c r="A25" s="15" t="s">
        <v>26</v>
      </c>
      <c r="B25" s="27">
        <f>326.155-B24</f>
        <v>4.5474735088646412E-13</v>
      </c>
      <c r="C25" s="27">
        <f>292-C24</f>
        <v>6.845000000000482</v>
      </c>
      <c r="D25" s="27">
        <f>289-D24</f>
        <v>4.5474735088646412E-13</v>
      </c>
      <c r="E25" s="27">
        <v>0</v>
      </c>
      <c r="F25" s="27">
        <v>0</v>
      </c>
      <c r="G25" s="27">
        <v>0</v>
      </c>
      <c r="H25" s="27">
        <v>0</v>
      </c>
      <c r="I25" s="27">
        <v>0</v>
      </c>
      <c r="J25" s="27">
        <v>0</v>
      </c>
      <c r="K25" s="27">
        <v>0</v>
      </c>
      <c r="L25" s="27">
        <v>0</v>
      </c>
      <c r="M25" s="27"/>
      <c r="N25" s="27"/>
      <c r="O25" s="27"/>
    </row>
    <row r="26" spans="1:15" s="23" customFormat="1" x14ac:dyDescent="0.2">
      <c r="A26" s="15" t="s">
        <v>25</v>
      </c>
      <c r="B26" s="21">
        <v>0</v>
      </c>
      <c r="C26" s="21">
        <v>0</v>
      </c>
      <c r="D26" s="21">
        <v>0</v>
      </c>
      <c r="E26" s="21">
        <v>0</v>
      </c>
      <c r="F26" s="21">
        <v>0</v>
      </c>
      <c r="G26" s="21">
        <v>0</v>
      </c>
      <c r="H26" s="21">
        <v>0</v>
      </c>
      <c r="I26" s="21">
        <v>0</v>
      </c>
      <c r="J26" s="21">
        <v>0</v>
      </c>
      <c r="K26" s="21">
        <v>0</v>
      </c>
      <c r="L26" s="21">
        <v>0</v>
      </c>
      <c r="M26" s="26"/>
      <c r="N26" s="26"/>
      <c r="O26" s="26"/>
    </row>
    <row r="27" spans="1:15" s="24" customFormat="1" x14ac:dyDescent="0.2">
      <c r="A27" s="22" t="s">
        <v>24</v>
      </c>
      <c r="B27" s="20">
        <f>SUM(B24:B26)</f>
        <v>326.15499999999997</v>
      </c>
      <c r="C27" s="20">
        <f>SUM(C24:C26)</f>
        <v>292</v>
      </c>
      <c r="D27" s="20">
        <f>SUM(D24:D26)</f>
        <v>289</v>
      </c>
      <c r="E27" s="20">
        <f>SUM(E24:E26)</f>
        <v>279.84500000000003</v>
      </c>
      <c r="F27" s="20">
        <f>SUM(F24:F26)</f>
        <v>278.84500000000003</v>
      </c>
      <c r="G27" s="20">
        <f t="shared" ref="G27:I27" si="7">SUM(G24:G26)</f>
        <v>302.84500000000003</v>
      </c>
      <c r="H27" s="20">
        <f t="shared" si="7"/>
        <v>308</v>
      </c>
      <c r="I27" s="20">
        <f t="shared" si="7"/>
        <v>286</v>
      </c>
      <c r="J27" s="20">
        <f t="shared" ref="J27:L27" si="8">SUM(J24:J26)</f>
        <v>279</v>
      </c>
      <c r="K27" s="20">
        <f t="shared" si="8"/>
        <v>280</v>
      </c>
      <c r="L27" s="20">
        <f t="shared" si="8"/>
        <v>266</v>
      </c>
      <c r="M27" s="25"/>
      <c r="N27" s="25"/>
      <c r="O27" s="25"/>
    </row>
    <row r="28" spans="1:15" s="23" customFormat="1" x14ac:dyDescent="0.2"/>
    <row r="29" spans="1:15" s="22" customFormat="1" x14ac:dyDescent="0.2">
      <c r="A29" s="22" t="s">
        <v>23</v>
      </c>
      <c r="B29" s="20">
        <f t="shared" ref="B29:C29" si="9">B22</f>
        <v>63</v>
      </c>
      <c r="C29" s="20">
        <f t="shared" si="9"/>
        <v>29</v>
      </c>
      <c r="D29" s="20">
        <f t="shared" ref="D29:E29" si="10">D22</f>
        <v>193.15499999999949</v>
      </c>
      <c r="E29" s="20">
        <f t="shared" si="10"/>
        <v>41</v>
      </c>
      <c r="F29" s="20">
        <f t="shared" ref="F29:L29" si="11">F22</f>
        <v>22</v>
      </c>
      <c r="G29" s="20">
        <f t="shared" si="11"/>
        <v>32.844999999999999</v>
      </c>
      <c r="H29" s="20">
        <f t="shared" si="11"/>
        <v>184</v>
      </c>
      <c r="I29" s="20">
        <f t="shared" si="11"/>
        <v>40</v>
      </c>
      <c r="J29" s="20">
        <f t="shared" si="11"/>
        <v>46</v>
      </c>
      <c r="K29" s="20">
        <f t="shared" si="11"/>
        <v>38</v>
      </c>
      <c r="L29" s="20">
        <f t="shared" si="11"/>
        <v>162</v>
      </c>
      <c r="M29" s="20">
        <f t="shared" ref="M29:O29" si="12">M22</f>
        <v>32.999999999999986</v>
      </c>
      <c r="N29" s="20">
        <f t="shared" si="12"/>
        <v>47</v>
      </c>
      <c r="O29" s="20">
        <f t="shared" si="12"/>
        <v>24</v>
      </c>
    </row>
    <row r="30" spans="1:15" s="11" customFormat="1" x14ac:dyDescent="0.2">
      <c r="A30" s="19" t="s">
        <v>22</v>
      </c>
      <c r="B30" s="19">
        <v>-17.920000000000009</v>
      </c>
      <c r="C30" s="19">
        <v>-21.509999999999998</v>
      </c>
      <c r="D30" s="19">
        <v>-30.61699999999999</v>
      </c>
      <c r="E30" s="19">
        <v>-21.152000000000008</v>
      </c>
      <c r="F30" s="19">
        <v>-22.669</v>
      </c>
      <c r="G30" s="19">
        <v>-25.608999999999998</v>
      </c>
      <c r="H30" s="19">
        <v>-29.245999999999995</v>
      </c>
      <c r="I30" s="19">
        <v>-26.503999999999998</v>
      </c>
      <c r="J30" s="19">
        <v>-28.901</v>
      </c>
      <c r="K30" s="19">
        <v>-26.461000000000002</v>
      </c>
      <c r="L30" s="19">
        <v>-74.154000000000011</v>
      </c>
      <c r="M30" s="19">
        <v>-28.907999999999998</v>
      </c>
      <c r="N30" s="19">
        <v>-16.203000000000003</v>
      </c>
      <c r="O30" s="19">
        <v>-8.01</v>
      </c>
    </row>
    <row r="31" spans="1:15" s="11" customFormat="1" x14ac:dyDescent="0.2">
      <c r="A31" s="19" t="s">
        <v>21</v>
      </c>
      <c r="B31" s="19">
        <v>0.17600000000000016</v>
      </c>
      <c r="C31" s="19">
        <v>-5.048</v>
      </c>
      <c r="D31" s="19">
        <v>-1.0410000000000004</v>
      </c>
      <c r="E31" s="19">
        <v>-1.3490000000000002</v>
      </c>
      <c r="F31" s="19">
        <v>12.912000000000001</v>
      </c>
      <c r="G31" s="19">
        <v>-2.3330000000000002</v>
      </c>
      <c r="H31" s="19">
        <v>-4.3140000000000001</v>
      </c>
      <c r="I31" s="19">
        <v>2.3620000000000001</v>
      </c>
      <c r="J31" s="19">
        <v>-0.9830000000000001</v>
      </c>
      <c r="K31" s="19">
        <v>0.64800000000000002</v>
      </c>
      <c r="L31" s="19">
        <v>-10.123999999999995</v>
      </c>
      <c r="M31" s="19">
        <v>10.846000000000004</v>
      </c>
      <c r="N31" s="19">
        <v>-205.303</v>
      </c>
      <c r="O31" s="19">
        <v>-11.505000000000001</v>
      </c>
    </row>
    <row r="32" spans="1:15" s="11" customFormat="1" x14ac:dyDescent="0.2">
      <c r="A32" s="19" t="s">
        <v>20</v>
      </c>
      <c r="B32" s="19">
        <v>29.607000000000198</v>
      </c>
      <c r="C32" s="19">
        <v>-879.35300000000007</v>
      </c>
      <c r="D32" s="19">
        <v>913.81699999999989</v>
      </c>
      <c r="E32" s="19">
        <v>-30.048000000000002</v>
      </c>
      <c r="F32" s="19">
        <v>102.71445640000002</v>
      </c>
      <c r="G32" s="19">
        <v>-687.50845639999989</v>
      </c>
      <c r="H32" s="19">
        <v>751.36500000000001</v>
      </c>
      <c r="I32" s="19">
        <v>-128.65999999999997</v>
      </c>
      <c r="J32" s="19">
        <v>66.15400000000011</v>
      </c>
      <c r="K32" s="19">
        <v>-774.11800000000017</v>
      </c>
      <c r="L32" s="19">
        <v>808.61800000000039</v>
      </c>
      <c r="M32" s="19">
        <v>-127.9799999999999</v>
      </c>
      <c r="N32" s="19">
        <v>95.784999999999968</v>
      </c>
      <c r="O32" s="19">
        <v>-895.48</v>
      </c>
    </row>
    <row r="33" spans="1:15" s="11" customFormat="1" x14ac:dyDescent="0.2">
      <c r="A33" s="19" t="s">
        <v>19</v>
      </c>
      <c r="B33" s="19">
        <v>0</v>
      </c>
      <c r="C33" s="19">
        <v>0</v>
      </c>
      <c r="D33" s="19">
        <v>0</v>
      </c>
      <c r="E33" s="19">
        <v>0</v>
      </c>
      <c r="F33" s="19">
        <v>0</v>
      </c>
      <c r="G33" s="19">
        <v>0</v>
      </c>
      <c r="H33" s="19">
        <v>0</v>
      </c>
      <c r="I33" s="19">
        <v>0</v>
      </c>
      <c r="J33" s="19">
        <v>0</v>
      </c>
      <c r="K33" s="19">
        <v>0</v>
      </c>
      <c r="L33" s="19">
        <v>0</v>
      </c>
      <c r="M33" s="19">
        <v>0</v>
      </c>
      <c r="N33" s="19">
        <v>0</v>
      </c>
      <c r="O33" s="19">
        <v>0</v>
      </c>
    </row>
    <row r="34" spans="1:15" s="11" customFormat="1" x14ac:dyDescent="0.2">
      <c r="A34" s="19" t="s">
        <v>18</v>
      </c>
      <c r="B34" s="21">
        <v>0</v>
      </c>
      <c r="C34" s="21">
        <v>0</v>
      </c>
      <c r="D34" s="21">
        <v>0</v>
      </c>
      <c r="E34" s="21">
        <v>0</v>
      </c>
      <c r="F34" s="21">
        <v>0</v>
      </c>
      <c r="G34" s="21">
        <v>0</v>
      </c>
      <c r="H34" s="21">
        <v>0</v>
      </c>
      <c r="I34" s="21">
        <v>0</v>
      </c>
      <c r="J34" s="21">
        <v>0</v>
      </c>
      <c r="K34" s="21">
        <v>0</v>
      </c>
      <c r="L34" s="21">
        <v>0</v>
      </c>
      <c r="M34" s="21">
        <v>0</v>
      </c>
      <c r="N34" s="21">
        <v>0</v>
      </c>
      <c r="O34" s="21">
        <v>0</v>
      </c>
    </row>
    <row r="35" spans="1:15" s="20" customFormat="1" x14ac:dyDescent="0.2">
      <c r="A35" s="20" t="s">
        <v>17</v>
      </c>
      <c r="B35" s="20">
        <v>82.815999999999917</v>
      </c>
      <c r="C35" s="20">
        <v>-869.40099999999995</v>
      </c>
      <c r="D35" s="20">
        <v>1112.17</v>
      </c>
      <c r="E35" s="20">
        <v>0.625</v>
      </c>
      <c r="F35" s="20">
        <v>137.45799999999997</v>
      </c>
      <c r="G35" s="20">
        <v>-684.29700000000003</v>
      </c>
      <c r="H35" s="20">
        <v>895.42499999999995</v>
      </c>
      <c r="I35" s="20">
        <v>-94.764999999999986</v>
      </c>
      <c r="J35" s="20">
        <v>68.937000000000012</v>
      </c>
      <c r="K35" s="20">
        <v>-757.26900000000001</v>
      </c>
      <c r="L35" s="20">
        <v>826.26499999999999</v>
      </c>
      <c r="M35" s="20">
        <v>-66.908000000000015</v>
      </c>
      <c r="N35" s="20">
        <v>108.99799999999993</v>
      </c>
      <c r="O35" s="20">
        <v>-853.08399999999995</v>
      </c>
    </row>
    <row r="36" spans="1:15" s="11" customFormat="1" x14ac:dyDescent="0.2">
      <c r="A36" s="19" t="s">
        <v>16</v>
      </c>
      <c r="B36" s="21">
        <v>-9.927999999999999</v>
      </c>
      <c r="C36" s="21">
        <v>-10.063000000000001</v>
      </c>
      <c r="D36" s="21">
        <v>-10.292000000000002</v>
      </c>
      <c r="E36" s="21">
        <v>-13.457000000000001</v>
      </c>
      <c r="F36" s="21">
        <v>-17.630000000000003</v>
      </c>
      <c r="G36" s="21">
        <v>-15.336</v>
      </c>
      <c r="H36" s="21">
        <v>-15.811</v>
      </c>
      <c r="I36" s="21">
        <v>-13.210999999999999</v>
      </c>
      <c r="J36" s="21">
        <v>-19.115000000000002</v>
      </c>
      <c r="K36" s="21">
        <v>-12.112</v>
      </c>
      <c r="L36" s="21">
        <v>-13.997999999999998</v>
      </c>
      <c r="M36" s="21">
        <v>-15.668999999999997</v>
      </c>
      <c r="N36" s="21">
        <v>-13.87</v>
      </c>
      <c r="O36" s="21">
        <v>-15.819000000000001</v>
      </c>
    </row>
    <row r="37" spans="1:15" s="20" customFormat="1" x14ac:dyDescent="0.2">
      <c r="A37" s="20" t="s">
        <v>15</v>
      </c>
      <c r="B37" s="20">
        <f>+B35+B36</f>
        <v>72.88799999999992</v>
      </c>
      <c r="C37" s="20">
        <f>+C35+C36</f>
        <v>-879.46399999999994</v>
      </c>
      <c r="D37" s="20">
        <f>+D35+D36</f>
        <v>1101.8780000000002</v>
      </c>
      <c r="E37" s="20">
        <f>+E35+E36</f>
        <v>-12.832000000000001</v>
      </c>
      <c r="F37" s="20">
        <f>+F35+F36</f>
        <v>119.82799999999997</v>
      </c>
      <c r="G37" s="20">
        <f t="shared" ref="G37:L37" si="13">+G35+G36</f>
        <v>-699.63300000000004</v>
      </c>
      <c r="H37" s="20">
        <f t="shared" si="13"/>
        <v>879.61399999999992</v>
      </c>
      <c r="I37" s="20">
        <f t="shared" si="13"/>
        <v>-107.97599999999998</v>
      </c>
      <c r="J37" s="20">
        <f t="shared" si="13"/>
        <v>49.82200000000001</v>
      </c>
      <c r="K37" s="20">
        <f t="shared" si="13"/>
        <v>-769.38099999999997</v>
      </c>
      <c r="L37" s="20">
        <f t="shared" si="13"/>
        <v>812.26699999999994</v>
      </c>
      <c r="M37" s="20">
        <f t="shared" ref="M37:O37" si="14">+M35+M36</f>
        <v>-82.577000000000012</v>
      </c>
      <c r="N37" s="20">
        <f t="shared" si="14"/>
        <v>95.127999999999929</v>
      </c>
      <c r="O37" s="20">
        <f t="shared" si="14"/>
        <v>-868.90299999999991</v>
      </c>
    </row>
    <row r="39" spans="1:15" s="16" customFormat="1" x14ac:dyDescent="0.2">
      <c r="A39" s="18" t="s">
        <v>14</v>
      </c>
      <c r="B39" s="19">
        <v>0</v>
      </c>
      <c r="C39" s="19">
        <v>120</v>
      </c>
      <c r="D39" s="19">
        <v>120</v>
      </c>
      <c r="E39" s="19">
        <v>120</v>
      </c>
      <c r="F39" s="19">
        <v>120</v>
      </c>
      <c r="G39" s="19"/>
      <c r="H39" s="19"/>
      <c r="I39" s="19"/>
      <c r="J39" s="19"/>
      <c r="K39" s="19"/>
      <c r="L39" s="19"/>
      <c r="M39" s="19"/>
      <c r="N39" s="19"/>
      <c r="O39" s="19"/>
    </row>
    <row r="40" spans="1:15" s="16" customFormat="1" x14ac:dyDescent="0.2">
      <c r="A40" s="18" t="s">
        <v>13</v>
      </c>
      <c r="B40" s="19">
        <v>1406</v>
      </c>
      <c r="C40" s="19">
        <v>1409</v>
      </c>
      <c r="D40" s="19">
        <v>1409.34</v>
      </c>
      <c r="E40" s="19">
        <v>1417</v>
      </c>
      <c r="F40" s="19">
        <v>1420</v>
      </c>
      <c r="G40" s="19"/>
      <c r="H40" s="19"/>
      <c r="I40" s="19"/>
      <c r="J40" s="19"/>
      <c r="K40" s="19"/>
      <c r="L40" s="19"/>
      <c r="M40" s="19"/>
      <c r="N40" s="19"/>
      <c r="O40" s="19"/>
    </row>
    <row r="41" spans="1:15" s="16" customFormat="1" x14ac:dyDescent="0.2">
      <c r="A41" s="18" t="s">
        <v>12</v>
      </c>
      <c r="B41" s="19">
        <f>B39+B40+400+30</f>
        <v>1836</v>
      </c>
      <c r="C41" s="19">
        <f>C39+C40+400+40</f>
        <v>1969</v>
      </c>
      <c r="D41" s="19">
        <f>D39+D40+400+40</f>
        <v>1969.34</v>
      </c>
      <c r="E41" s="19">
        <f>E39+E40+400+40</f>
        <v>1977</v>
      </c>
      <c r="F41" s="19">
        <f>F39+F40+400+40</f>
        <v>1980</v>
      </c>
      <c r="G41" s="19"/>
      <c r="H41" s="19"/>
      <c r="I41" s="19"/>
      <c r="J41" s="19"/>
      <c r="K41" s="19"/>
      <c r="L41" s="19"/>
      <c r="M41" s="19"/>
      <c r="N41" s="19"/>
      <c r="O41" s="19"/>
    </row>
    <row r="42" spans="1:15" s="16" customFormat="1" x14ac:dyDescent="0.2">
      <c r="A42" s="18" t="s">
        <v>11</v>
      </c>
      <c r="B42" s="17">
        <v>2000</v>
      </c>
      <c r="C42" s="17">
        <v>2000</v>
      </c>
      <c r="D42" s="17">
        <v>2000</v>
      </c>
      <c r="E42" s="17">
        <v>2000</v>
      </c>
      <c r="F42" s="17">
        <v>2000</v>
      </c>
      <c r="G42" s="17"/>
      <c r="H42" s="17"/>
      <c r="I42" s="17"/>
      <c r="J42" s="17"/>
      <c r="K42" s="17"/>
      <c r="L42" s="17"/>
      <c r="M42" s="17"/>
      <c r="N42" s="17"/>
      <c r="O42" s="17"/>
    </row>
    <row r="43" spans="1:15" x14ac:dyDescent="0.2">
      <c r="B43" s="16"/>
      <c r="C43" s="16"/>
      <c r="D43" s="16"/>
      <c r="E43" s="16"/>
      <c r="F43" s="16"/>
      <c r="G43" s="16"/>
      <c r="H43" s="16"/>
    </row>
    <row r="44" spans="1:15" x14ac:dyDescent="0.2">
      <c r="A44" s="15" t="s">
        <v>10</v>
      </c>
      <c r="B44" s="27">
        <v>1062.893</v>
      </c>
      <c r="C44" s="27">
        <v>1186</v>
      </c>
      <c r="D44" s="27">
        <v>2012.0239999999999</v>
      </c>
      <c r="E44" s="27">
        <v>687.37300000000005</v>
      </c>
      <c r="F44" s="27">
        <v>687</v>
      </c>
      <c r="G44" s="27"/>
      <c r="H44" s="27"/>
      <c r="I44" s="27"/>
      <c r="J44" s="27"/>
      <c r="K44" s="27"/>
      <c r="L44" s="14"/>
      <c r="M44" s="14"/>
      <c r="N44" s="14"/>
      <c r="O44" s="14"/>
    </row>
    <row r="46" spans="1:15" x14ac:dyDescent="0.2">
      <c r="A46" s="1" t="s">
        <v>9</v>
      </c>
      <c r="B46" s="13">
        <f>SUM(B12:E12)</f>
        <v>3436.2280000000001</v>
      </c>
      <c r="C46" s="13">
        <f>SUM(C12:F12)</f>
        <v>3038.7680000000005</v>
      </c>
      <c r="D46" s="13">
        <f>SUM(D12:G12)</f>
        <v>2732.9460000000004</v>
      </c>
      <c r="E46" s="13">
        <f>SUM(E12:H12)</f>
        <v>2310.6600000000003</v>
      </c>
      <c r="F46" s="13">
        <f>SUM(F12:I12)</f>
        <v>2312.1129999999998</v>
      </c>
      <c r="G46" s="11"/>
      <c r="H46" s="11"/>
      <c r="I46" s="11"/>
      <c r="J46" s="11"/>
    </row>
    <row r="47" spans="1:15" x14ac:dyDescent="0.2">
      <c r="A47" s="1" t="s">
        <v>8</v>
      </c>
      <c r="B47" s="13">
        <f>B27</f>
        <v>326.15499999999997</v>
      </c>
      <c r="C47" s="13">
        <f>C27</f>
        <v>292</v>
      </c>
      <c r="D47" s="13">
        <f>D27</f>
        <v>289</v>
      </c>
      <c r="E47" s="13">
        <f>E27</f>
        <v>279.84500000000003</v>
      </c>
      <c r="F47" s="13">
        <f>F27</f>
        <v>278.84500000000003</v>
      </c>
      <c r="G47" s="11"/>
      <c r="H47" s="11"/>
      <c r="I47" s="11"/>
      <c r="J47" s="11"/>
    </row>
    <row r="48" spans="1:15" x14ac:dyDescent="0.2">
      <c r="A48" s="1" t="s">
        <v>7</v>
      </c>
      <c r="B48" s="13">
        <f>SUM(B37:E37)</f>
        <v>282.47000000000014</v>
      </c>
      <c r="C48" s="13">
        <f>SUM(C37:F37)</f>
        <v>329.4100000000002</v>
      </c>
      <c r="D48" s="13">
        <f>SUM(D37:G37)</f>
        <v>509.24099999999999</v>
      </c>
      <c r="E48" s="13">
        <f>SUM(E37:H37)</f>
        <v>286.97699999999986</v>
      </c>
      <c r="F48" s="13">
        <f>SUM(F37:I37)</f>
        <v>191.83299999999986</v>
      </c>
      <c r="G48" s="11"/>
      <c r="H48" s="11"/>
      <c r="I48" s="11"/>
      <c r="J48" s="11"/>
    </row>
    <row r="50" spans="1:15" s="10" customFormat="1" x14ac:dyDescent="0.2">
      <c r="A50" s="10" t="s">
        <v>6</v>
      </c>
      <c r="B50" s="10">
        <f>+SUM(B39:B40)/B47</f>
        <v>4.3108338060124787</v>
      </c>
      <c r="C50" s="10">
        <f>+SUM(C39:C40)/C47</f>
        <v>5.2363013698630141</v>
      </c>
      <c r="D50" s="10">
        <f>+SUM(D39:D40)/D47</f>
        <v>5.2918339100346019</v>
      </c>
      <c r="E50" s="10">
        <f>+SUM(E39:E40)/E47</f>
        <v>5.4923261090961066</v>
      </c>
      <c r="F50" s="10">
        <f>+SUM(F39:F40)/F47</f>
        <v>5.5227814735785108</v>
      </c>
    </row>
    <row r="51" spans="1:15" s="10" customFormat="1" x14ac:dyDescent="0.2">
      <c r="A51" s="10" t="s">
        <v>5</v>
      </c>
      <c r="B51" s="10">
        <f>+B41/B47</f>
        <v>5.6292253683064803</v>
      </c>
      <c r="C51" s="10">
        <f>+C41/C47</f>
        <v>6.743150684931507</v>
      </c>
      <c r="D51" s="10">
        <f>+D41/D47</f>
        <v>6.814325259515571</v>
      </c>
      <c r="E51" s="10">
        <f>+E41/E47</f>
        <v>7.0646250603012373</v>
      </c>
      <c r="F51" s="10">
        <f>+F41/F47</f>
        <v>7.1007190374580853</v>
      </c>
    </row>
    <row r="52" spans="1:15" s="10" customFormat="1" x14ac:dyDescent="0.2">
      <c r="A52" s="10" t="s">
        <v>4</v>
      </c>
      <c r="B52" s="10">
        <f>+(B41-B44)/B47</f>
        <v>2.3703668501172754</v>
      </c>
      <c r="C52" s="10">
        <f>+(C41-C44)/C47</f>
        <v>2.6815068493150687</v>
      </c>
      <c r="D52" s="10">
        <f>+(D41-D44)/D47</f>
        <v>-0.14769550173010371</v>
      </c>
      <c r="E52" s="10">
        <f>+(E41-E44)/E47</f>
        <v>4.6083617716950451</v>
      </c>
      <c r="F52" s="10">
        <f>+(F41-F44)/F47</f>
        <v>4.6369847047642949</v>
      </c>
    </row>
    <row r="53" spans="1:15" s="6" customFormat="1" x14ac:dyDescent="0.2">
      <c r="A53" s="6" t="s">
        <v>3</v>
      </c>
      <c r="B53" s="6">
        <f>+B48/B41</f>
        <v>0.1538507625272332</v>
      </c>
      <c r="C53" s="6">
        <f>+C48/C41</f>
        <v>0.16729812087353996</v>
      </c>
      <c r="D53" s="6">
        <f>+D48/D41</f>
        <v>0.2585846019478607</v>
      </c>
      <c r="E53" s="6">
        <f>+E48/E41</f>
        <v>0.14515781487101662</v>
      </c>
      <c r="F53" s="6">
        <f>+F48/F41</f>
        <v>9.6885353535353463E-2</v>
      </c>
    </row>
    <row r="54" spans="1:15" s="6" customFormat="1" x14ac:dyDescent="0.2">
      <c r="A54" s="8" t="s">
        <v>2</v>
      </c>
      <c r="B54" s="9"/>
      <c r="C54" s="9"/>
      <c r="D54" s="9"/>
      <c r="E54" s="9"/>
      <c r="F54" s="9"/>
      <c r="G54" s="9"/>
      <c r="H54" s="9"/>
      <c r="I54" s="9"/>
      <c r="J54" s="9"/>
      <c r="K54" s="8"/>
      <c r="L54" s="8"/>
      <c r="M54" s="8"/>
      <c r="N54" s="8"/>
      <c r="O54" s="8"/>
    </row>
    <row r="55" spans="1:15" s="6" customFormat="1" x14ac:dyDescent="0.2">
      <c r="A55" s="6" t="s">
        <v>1</v>
      </c>
      <c r="B55" s="7">
        <f>IF(B42=0,IF(B54="","","*"&amp;TEXT(B54,"0.0x")),(B41+B42-B44)/B47)</f>
        <v>8.5024206282289096</v>
      </c>
      <c r="C55" s="7">
        <f>IF(C42=0,IF(C54="","","*"&amp;TEXT(C54,"0.0x")),(C41+C42-C44)/C47)</f>
        <v>9.5308219178082183</v>
      </c>
      <c r="D55" s="7">
        <f>IF(D42=0,IF(D54="","","*"&amp;TEXT(D54,"0.0x")),(D41+D42-D44)/D47)</f>
        <v>6.7727197231833918</v>
      </c>
      <c r="E55" s="7">
        <f>IF(E42=0,IF(E54="","","*"&amp;TEXT(E54,"0.0x")),(E41+E42-E44)/E47)</f>
        <v>11.755175186263823</v>
      </c>
      <c r="F55" s="7">
        <f>IF(F42=0,IF(F54="","","*"&amp;TEXT(F54,"0.0x")),(F41+F42-F44)/F47)</f>
        <v>11.809428176944179</v>
      </c>
      <c r="G55" s="7"/>
      <c r="H55" s="7"/>
      <c r="I55" s="7"/>
      <c r="J55" s="7"/>
      <c r="K55" s="7"/>
      <c r="L55" s="7" t="str">
        <f t="shared" ref="L55:O55" si="15">IF(L42=0,IF(L54="","",CONCATENATE("* ",L54,"x")),(L41+L42-L44)/L47)</f>
        <v/>
      </c>
      <c r="M55" s="7"/>
      <c r="N55" s="7"/>
      <c r="O55" s="7" t="str">
        <f t="shared" si="15"/>
        <v/>
      </c>
    </row>
    <row r="56" spans="1:15" x14ac:dyDescent="0.2">
      <c r="J56" s="3"/>
    </row>
    <row r="57" spans="1:15" ht="80.25" customHeight="1" x14ac:dyDescent="0.2">
      <c r="A57" s="5" t="s">
        <v>0</v>
      </c>
      <c r="B57" s="4" t="s">
        <v>104</v>
      </c>
      <c r="C57" s="4" t="s">
        <v>104</v>
      </c>
      <c r="D57" s="4" t="s">
        <v>104</v>
      </c>
      <c r="E57" s="4" t="s">
        <v>104</v>
      </c>
      <c r="F57" s="4" t="s">
        <v>104</v>
      </c>
      <c r="G57" s="4"/>
      <c r="H57" s="4"/>
      <c r="I57" s="4"/>
      <c r="J57" s="4"/>
      <c r="K57" s="4"/>
      <c r="L57" s="4"/>
      <c r="M57" s="4"/>
      <c r="N57" s="4"/>
      <c r="O57" s="4"/>
    </row>
    <row r="58" spans="1:15" x14ac:dyDescent="0.2">
      <c r="A58" s="2"/>
      <c r="B58" s="3"/>
      <c r="C58" s="3"/>
      <c r="D58" s="3"/>
      <c r="E58" s="3"/>
      <c r="F58" s="3"/>
    </row>
    <row r="59" spans="1:15" x14ac:dyDescent="0.2">
      <c r="A59" s="2"/>
    </row>
  </sheetData>
  <pageMargins left="0.7" right="0.7" top="0.75" bottom="0.75" header="0.3" footer="0.3"/>
  <pageSetup orientation="portrait" r:id="rId1"/>
  <ignoredErrors>
    <ignoredError sqref="E46:F46 C46:D47" formulaRange="1"/>
  </ignoredError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D096-5FB9-4670-9FDF-F9F6A978BDED}">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533</v>
      </c>
    </row>
    <row r="3" spans="1:10" s="35" customFormat="1" x14ac:dyDescent="0.2">
      <c r="A3" s="36" t="s">
        <v>43</v>
      </c>
      <c r="B3" s="35" t="s">
        <v>530</v>
      </c>
    </row>
    <row r="4" spans="1:10" x14ac:dyDescent="0.2">
      <c r="A4" s="34" t="s">
        <v>41</v>
      </c>
      <c r="B4" s="1" t="s">
        <v>40</v>
      </c>
    </row>
    <row r="5" spans="1:10" x14ac:dyDescent="0.2">
      <c r="A5" s="34" t="s">
        <v>39</v>
      </c>
    </row>
    <row r="6" spans="1:10" x14ac:dyDescent="0.2">
      <c r="A6" s="34" t="s">
        <v>38</v>
      </c>
      <c r="B6" s="1">
        <v>3</v>
      </c>
    </row>
    <row r="7" spans="1:10" x14ac:dyDescent="0.2">
      <c r="A7" s="34" t="s">
        <v>37</v>
      </c>
      <c r="B7" s="1" t="s">
        <v>532</v>
      </c>
    </row>
    <row r="8" spans="1:10" x14ac:dyDescent="0.2">
      <c r="A8" s="34" t="s">
        <v>281</v>
      </c>
      <c r="B8" s="1" t="s">
        <v>531</v>
      </c>
    </row>
    <row r="9" spans="1:10" x14ac:dyDescent="0.2">
      <c r="A9" s="22"/>
    </row>
    <row r="10" spans="1:10" x14ac:dyDescent="0.2">
      <c r="A10" s="22" t="s">
        <v>36</v>
      </c>
      <c r="B10" s="33">
        <v>44196</v>
      </c>
      <c r="C10" s="33">
        <v>44104</v>
      </c>
      <c r="D10" s="33">
        <f>EOMONTH(C10,-3)</f>
        <v>44012</v>
      </c>
      <c r="E10" s="33">
        <f t="shared" ref="E10:J10" si="0">EOMONTH(D10,-3)</f>
        <v>43921</v>
      </c>
      <c r="F10" s="33">
        <f t="shared" si="0"/>
        <v>43830</v>
      </c>
      <c r="G10" s="33">
        <f t="shared" si="0"/>
        <v>43738</v>
      </c>
      <c r="H10" s="33">
        <f t="shared" si="0"/>
        <v>43646</v>
      </c>
      <c r="I10" s="33">
        <f t="shared" si="0"/>
        <v>43555</v>
      </c>
      <c r="J10" s="33">
        <f t="shared" si="0"/>
        <v>43465</v>
      </c>
    </row>
    <row r="12" spans="1:10" x14ac:dyDescent="0.2">
      <c r="A12" s="15" t="s">
        <v>35</v>
      </c>
      <c r="B12" s="19">
        <v>0</v>
      </c>
      <c r="C12" s="19">
        <v>0</v>
      </c>
      <c r="D12" s="19">
        <v>0</v>
      </c>
      <c r="E12" s="19">
        <v>0</v>
      </c>
      <c r="F12" s="19">
        <v>0</v>
      </c>
      <c r="G12" s="19">
        <v>0</v>
      </c>
      <c r="H12" s="19">
        <v>0</v>
      </c>
      <c r="I12" s="19">
        <v>0</v>
      </c>
      <c r="J12" s="19">
        <v>0</v>
      </c>
    </row>
    <row r="13" spans="1:10" s="28" customFormat="1" x14ac:dyDescent="0.2">
      <c r="A13" s="28" t="s">
        <v>34</v>
      </c>
      <c r="B13" s="28" t="e">
        <f>+B12/F12-1</f>
        <v>#DIV/0!</v>
      </c>
      <c r="C13" s="28" t="e">
        <f>+C12/G12-1</f>
        <v>#DIV/0!</v>
      </c>
      <c r="D13" s="28" t="e">
        <f t="shared" ref="D13:F13" si="1">+D12/H12-1</f>
        <v>#DIV/0!</v>
      </c>
      <c r="E13" s="28" t="e">
        <f t="shared" si="1"/>
        <v>#DIV/0!</v>
      </c>
      <c r="F13" s="28" t="e">
        <f t="shared" si="1"/>
        <v>#DIV/0!</v>
      </c>
    </row>
    <row r="14" spans="1:10" s="23" customFormat="1" x14ac:dyDescent="0.2">
      <c r="A14" s="31" t="s">
        <v>33</v>
      </c>
      <c r="B14" s="32" t="s">
        <v>32</v>
      </c>
      <c r="C14" s="32" t="s">
        <v>32</v>
      </c>
      <c r="D14" s="32" t="s">
        <v>32</v>
      </c>
      <c r="E14" s="32" t="s">
        <v>32</v>
      </c>
      <c r="F14" s="32" t="s">
        <v>32</v>
      </c>
      <c r="G14" s="31"/>
      <c r="H14" s="31"/>
      <c r="I14" s="31"/>
      <c r="J14" s="31"/>
    </row>
    <row r="16" spans="1:10" s="22" customFormat="1" x14ac:dyDescent="0.2">
      <c r="A16" s="30" t="s">
        <v>31</v>
      </c>
      <c r="B16" s="29">
        <v>0</v>
      </c>
      <c r="C16" s="29">
        <v>0</v>
      </c>
      <c r="D16" s="29">
        <v>0</v>
      </c>
      <c r="E16" s="29">
        <v>0</v>
      </c>
      <c r="F16" s="29">
        <v>0</v>
      </c>
      <c r="G16" s="29">
        <v>0</v>
      </c>
      <c r="H16" s="29">
        <v>0</v>
      </c>
      <c r="I16" s="29">
        <v>0</v>
      </c>
      <c r="J16" s="29">
        <v>0</v>
      </c>
    </row>
    <row r="17" spans="1:10" s="28" customFormat="1" x14ac:dyDescent="0.2">
      <c r="A17" s="28" t="s">
        <v>30</v>
      </c>
      <c r="B17" s="28" t="e">
        <f>+B16/B12</f>
        <v>#DIV/0!</v>
      </c>
      <c r="C17" s="28" t="e">
        <f>+C16/C12</f>
        <v>#DIV/0!</v>
      </c>
      <c r="D17" s="28" t="e">
        <f t="shared" ref="D17:J17" si="2">+D16/D12</f>
        <v>#DIV/0!</v>
      </c>
      <c r="E17" s="28" t="e">
        <f t="shared" si="2"/>
        <v>#DIV/0!</v>
      </c>
      <c r="F17" s="28" t="e">
        <f t="shared" si="2"/>
        <v>#DIV/0!</v>
      </c>
      <c r="G17" s="28" t="e">
        <f t="shared" si="2"/>
        <v>#DIV/0!</v>
      </c>
      <c r="H17" s="28" t="e">
        <f t="shared" si="2"/>
        <v>#DIV/0!</v>
      </c>
      <c r="I17" s="28" t="e">
        <f t="shared" si="2"/>
        <v>#DIV/0!</v>
      </c>
      <c r="J17" s="28" t="e">
        <f t="shared" si="2"/>
        <v>#DIV/0!</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0</v>
      </c>
      <c r="C22" s="20">
        <f>SUM(C16,C19:C21)</f>
        <v>0</v>
      </c>
      <c r="D22" s="20">
        <f t="shared" ref="D22:J22" si="3">SUM(D16,D19:D21)</f>
        <v>0</v>
      </c>
      <c r="E22" s="20">
        <f t="shared" si="3"/>
        <v>0</v>
      </c>
      <c r="F22" s="20">
        <f t="shared" si="3"/>
        <v>0</v>
      </c>
      <c r="G22" s="20">
        <f t="shared" si="3"/>
        <v>0</v>
      </c>
      <c r="H22" s="20">
        <f t="shared" si="3"/>
        <v>0</v>
      </c>
      <c r="I22" s="20">
        <f t="shared" si="3"/>
        <v>0</v>
      </c>
      <c r="J22" s="20">
        <f t="shared" si="3"/>
        <v>0</v>
      </c>
    </row>
    <row r="23" spans="1:10" s="22" customFormat="1" x14ac:dyDescent="0.2">
      <c r="B23" s="20"/>
      <c r="C23" s="20"/>
      <c r="D23" s="20"/>
      <c r="E23" s="20"/>
      <c r="F23" s="20"/>
      <c r="G23" s="20"/>
      <c r="H23" s="20"/>
      <c r="I23" s="20"/>
      <c r="J23" s="20"/>
    </row>
    <row r="24" spans="1:10" s="22" customFormat="1" x14ac:dyDescent="0.2">
      <c r="A24" s="22" t="s">
        <v>27</v>
      </c>
      <c r="B24" s="20">
        <f>SUM(B22:E22)</f>
        <v>0</v>
      </c>
      <c r="C24" s="20">
        <f>SUM(C22:F22)</f>
        <v>0</v>
      </c>
      <c r="D24" s="20">
        <f t="shared" ref="D24:G24" si="4">SUM(D22:G22)</f>
        <v>0</v>
      </c>
      <c r="E24" s="20">
        <f t="shared" si="4"/>
        <v>0</v>
      </c>
      <c r="F24" s="20">
        <f t="shared" si="4"/>
        <v>0</v>
      </c>
      <c r="G24" s="20">
        <f t="shared" si="4"/>
        <v>0</v>
      </c>
      <c r="H24" s="20"/>
      <c r="I24" s="20"/>
      <c r="J24" s="20"/>
    </row>
    <row r="25" spans="1:10" s="23" customFormat="1" x14ac:dyDescent="0.2">
      <c r="A25" s="15" t="s">
        <v>26</v>
      </c>
      <c r="B25" s="27">
        <v>0</v>
      </c>
      <c r="C25" s="27">
        <v>0</v>
      </c>
      <c r="D25" s="27">
        <v>0</v>
      </c>
      <c r="E25" s="27">
        <v>0</v>
      </c>
      <c r="F25" s="27">
        <v>0</v>
      </c>
      <c r="G25" s="27">
        <v>0</v>
      </c>
      <c r="H25" s="27">
        <v>0</v>
      </c>
      <c r="I25" s="27">
        <v>0</v>
      </c>
      <c r="J25" s="27">
        <v>0</v>
      </c>
    </row>
    <row r="26" spans="1:10" s="23" customFormat="1" x14ac:dyDescent="0.2">
      <c r="A26" s="15" t="s">
        <v>25</v>
      </c>
      <c r="B26" s="21">
        <v>0</v>
      </c>
      <c r="C26" s="21">
        <v>0</v>
      </c>
      <c r="D26" s="21">
        <v>0</v>
      </c>
      <c r="E26" s="21">
        <v>0</v>
      </c>
      <c r="F26" s="21">
        <v>0</v>
      </c>
      <c r="G26" s="21">
        <v>0</v>
      </c>
      <c r="H26" s="26"/>
      <c r="I26" s="26"/>
      <c r="J26" s="26"/>
    </row>
    <row r="27" spans="1:10" s="24" customFormat="1" x14ac:dyDescent="0.2">
      <c r="A27" s="22" t="s">
        <v>24</v>
      </c>
      <c r="B27" s="20">
        <f>SUM(B24:B26)</f>
        <v>0</v>
      </c>
      <c r="C27" s="20">
        <f>SUM(C24:C26)</f>
        <v>0</v>
      </c>
      <c r="D27" s="20">
        <f t="shared" ref="D27:G27" si="5">SUM(D24:D26)</f>
        <v>0</v>
      </c>
      <c r="E27" s="20">
        <f t="shared" si="5"/>
        <v>0</v>
      </c>
      <c r="F27" s="20">
        <f t="shared" si="5"/>
        <v>0</v>
      </c>
      <c r="G27" s="20">
        <f t="shared" si="5"/>
        <v>0</v>
      </c>
      <c r="H27" s="25"/>
      <c r="I27" s="25"/>
      <c r="J27" s="25"/>
    </row>
    <row r="28" spans="1:10" s="23" customFormat="1" x14ac:dyDescent="0.2"/>
    <row r="29" spans="1:10" s="22" customFormat="1" x14ac:dyDescent="0.2">
      <c r="A29" s="22" t="s">
        <v>23</v>
      </c>
      <c r="B29" s="20">
        <f t="shared" ref="B29" si="6">B22</f>
        <v>0</v>
      </c>
      <c r="C29" s="20">
        <f t="shared" ref="C29:J29" si="7">C22</f>
        <v>0</v>
      </c>
      <c r="D29" s="20">
        <f t="shared" si="7"/>
        <v>0</v>
      </c>
      <c r="E29" s="20">
        <f t="shared" si="7"/>
        <v>0</v>
      </c>
      <c r="F29" s="20">
        <f t="shared" si="7"/>
        <v>0</v>
      </c>
      <c r="G29" s="20">
        <f t="shared" si="7"/>
        <v>0</v>
      </c>
      <c r="H29" s="20">
        <f t="shared" si="7"/>
        <v>0</v>
      </c>
      <c r="I29" s="20">
        <f t="shared" si="7"/>
        <v>0</v>
      </c>
      <c r="J29" s="20">
        <f t="shared" si="7"/>
        <v>0</v>
      </c>
    </row>
    <row r="30" spans="1:10" s="11" customFormat="1" x14ac:dyDescent="0.2">
      <c r="A30" s="19" t="s">
        <v>22</v>
      </c>
      <c r="B30" s="19">
        <v>0</v>
      </c>
      <c r="C30" s="19">
        <v>0</v>
      </c>
      <c r="D30" s="19">
        <v>0</v>
      </c>
      <c r="E30" s="19">
        <v>0</v>
      </c>
      <c r="F30" s="19">
        <v>0</v>
      </c>
      <c r="G30" s="19">
        <v>0</v>
      </c>
      <c r="H30" s="19">
        <v>0</v>
      </c>
      <c r="I30" s="19">
        <v>0</v>
      </c>
      <c r="J30" s="19">
        <v>0</v>
      </c>
    </row>
    <row r="31" spans="1:10" s="11" customFormat="1" x14ac:dyDescent="0.2">
      <c r="A31" s="19" t="s">
        <v>21</v>
      </c>
      <c r="B31" s="19">
        <v>0</v>
      </c>
      <c r="C31" s="19">
        <v>0</v>
      </c>
      <c r="D31" s="19">
        <v>0</v>
      </c>
      <c r="E31" s="19">
        <v>0</v>
      </c>
      <c r="F31" s="19">
        <v>0</v>
      </c>
      <c r="G31" s="19">
        <v>0</v>
      </c>
      <c r="H31" s="19">
        <v>0</v>
      </c>
      <c r="I31" s="19">
        <v>0</v>
      </c>
      <c r="J31" s="19">
        <v>0</v>
      </c>
    </row>
    <row r="32" spans="1:10" s="11" customFormat="1" x14ac:dyDescent="0.2">
      <c r="A32" s="19" t="s">
        <v>20</v>
      </c>
      <c r="B32" s="19">
        <v>0</v>
      </c>
      <c r="C32" s="19">
        <v>0</v>
      </c>
      <c r="D32" s="19">
        <v>0</v>
      </c>
      <c r="E32" s="19">
        <v>0</v>
      </c>
      <c r="F32" s="19">
        <v>0</v>
      </c>
      <c r="G32" s="19">
        <v>0</v>
      </c>
      <c r="H32" s="19">
        <v>0</v>
      </c>
      <c r="I32" s="19">
        <v>0</v>
      </c>
      <c r="J32" s="19">
        <v>0</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0</v>
      </c>
      <c r="C35" s="20">
        <v>0</v>
      </c>
      <c r="D35" s="20">
        <v>0</v>
      </c>
      <c r="E35" s="20">
        <v>0</v>
      </c>
      <c r="F35" s="20">
        <v>0</v>
      </c>
      <c r="G35" s="20">
        <v>0</v>
      </c>
      <c r="H35" s="20">
        <v>0</v>
      </c>
      <c r="I35" s="20">
        <v>0</v>
      </c>
      <c r="J35" s="20">
        <v>0</v>
      </c>
    </row>
    <row r="36" spans="1:10" s="11" customFormat="1" x14ac:dyDescent="0.2">
      <c r="A36" s="19" t="s">
        <v>16</v>
      </c>
      <c r="B36" s="21">
        <v>0</v>
      </c>
      <c r="C36" s="21">
        <v>0</v>
      </c>
      <c r="D36" s="21">
        <v>0</v>
      </c>
      <c r="E36" s="21">
        <v>0</v>
      </c>
      <c r="F36" s="21">
        <v>0</v>
      </c>
      <c r="G36" s="21">
        <v>0</v>
      </c>
      <c r="H36" s="21">
        <v>0</v>
      </c>
      <c r="I36" s="21">
        <v>0</v>
      </c>
      <c r="J36" s="21">
        <v>0</v>
      </c>
    </row>
    <row r="37" spans="1:10" s="20" customFormat="1" x14ac:dyDescent="0.2">
      <c r="A37" s="20" t="s">
        <v>15</v>
      </c>
      <c r="B37" s="20">
        <f>+B35+B36</f>
        <v>0</v>
      </c>
      <c r="C37" s="20">
        <f>+C35+C36</f>
        <v>0</v>
      </c>
      <c r="D37" s="20">
        <f t="shared" ref="D37:J37" si="8">+D35+D36</f>
        <v>0</v>
      </c>
      <c r="E37" s="20">
        <f t="shared" si="8"/>
        <v>0</v>
      </c>
      <c r="F37" s="20">
        <f t="shared" si="8"/>
        <v>0</v>
      </c>
      <c r="G37" s="20">
        <f t="shared" si="8"/>
        <v>0</v>
      </c>
      <c r="H37" s="20">
        <f t="shared" si="8"/>
        <v>0</v>
      </c>
      <c r="I37" s="20">
        <f t="shared" si="8"/>
        <v>0</v>
      </c>
      <c r="J37" s="20">
        <f t="shared" si="8"/>
        <v>0</v>
      </c>
    </row>
    <row r="39" spans="1:10" s="16" customFormat="1" x14ac:dyDescent="0.2">
      <c r="A39" s="18" t="s">
        <v>14</v>
      </c>
      <c r="B39" s="19">
        <v>0</v>
      </c>
      <c r="C39" s="19">
        <v>0</v>
      </c>
      <c r="D39" s="19"/>
      <c r="E39" s="19"/>
      <c r="F39" s="19"/>
      <c r="G39" s="19"/>
      <c r="H39" s="19"/>
      <c r="I39" s="19"/>
      <c r="J39" s="19"/>
    </row>
    <row r="40" spans="1:10" s="16" customFormat="1" x14ac:dyDescent="0.2">
      <c r="A40" s="18" t="s">
        <v>13</v>
      </c>
      <c r="B40" s="19">
        <v>2514</v>
      </c>
      <c r="C40" s="19">
        <v>2513</v>
      </c>
      <c r="D40" s="19"/>
      <c r="E40" s="19"/>
      <c r="F40" s="19"/>
      <c r="G40" s="19"/>
      <c r="H40" s="19"/>
      <c r="I40" s="19"/>
      <c r="J40" s="19"/>
    </row>
    <row r="41" spans="1:10" s="16" customFormat="1" x14ac:dyDescent="0.2">
      <c r="A41" s="18" t="s">
        <v>12</v>
      </c>
      <c r="B41" s="19">
        <f>B39+B40</f>
        <v>2514</v>
      </c>
      <c r="C41" s="19">
        <f>C39+C40</f>
        <v>2513</v>
      </c>
      <c r="D41" s="19"/>
      <c r="E41" s="19"/>
      <c r="F41" s="19"/>
      <c r="G41" s="19"/>
      <c r="H41" s="19"/>
      <c r="I41" s="19"/>
      <c r="J41" s="19"/>
    </row>
    <row r="42" spans="1:10" s="16" customFormat="1" x14ac:dyDescent="0.2">
      <c r="A42" s="18" t="s">
        <v>11</v>
      </c>
      <c r="B42" s="17">
        <v>17930</v>
      </c>
      <c r="C42" s="17">
        <v>17930</v>
      </c>
      <c r="D42" s="17"/>
      <c r="E42" s="17"/>
      <c r="F42" s="17"/>
      <c r="G42" s="17"/>
      <c r="H42" s="17"/>
      <c r="I42" s="17"/>
      <c r="J42" s="17"/>
    </row>
    <row r="43" spans="1:10" x14ac:dyDescent="0.2">
      <c r="B43" s="16"/>
      <c r="C43" s="16"/>
      <c r="D43" s="16"/>
      <c r="E43" s="16"/>
    </row>
    <row r="44" spans="1:10" x14ac:dyDescent="0.2">
      <c r="A44" s="15" t="s">
        <v>10</v>
      </c>
      <c r="B44" s="27">
        <v>131</v>
      </c>
      <c r="C44" s="27">
        <v>34</v>
      </c>
      <c r="D44" s="27"/>
      <c r="E44" s="27"/>
      <c r="F44" s="27"/>
      <c r="G44" s="27"/>
      <c r="H44" s="27"/>
      <c r="I44" s="14"/>
      <c r="J44" s="14"/>
    </row>
    <row r="46" spans="1:10" x14ac:dyDescent="0.2">
      <c r="A46" s="1" t="s">
        <v>9</v>
      </c>
      <c r="B46" s="12"/>
      <c r="C46" s="12">
        <v>1632</v>
      </c>
      <c r="D46" s="11"/>
      <c r="E46" s="11"/>
      <c r="F46" s="11"/>
      <c r="G46" s="11"/>
    </row>
    <row r="47" spans="1:10" x14ac:dyDescent="0.2">
      <c r="A47" s="1" t="s">
        <v>8</v>
      </c>
      <c r="B47" s="12">
        <v>556.4</v>
      </c>
      <c r="C47" s="12">
        <v>569</v>
      </c>
      <c r="D47" s="11"/>
      <c r="E47" s="11"/>
      <c r="F47" s="11"/>
      <c r="G47" s="11"/>
    </row>
    <row r="48" spans="1:10" x14ac:dyDescent="0.2">
      <c r="A48" s="1" t="s">
        <v>7</v>
      </c>
      <c r="B48" s="12"/>
      <c r="C48" s="12">
        <v>160.88</v>
      </c>
      <c r="D48" s="11"/>
      <c r="E48" s="11"/>
      <c r="F48" s="11"/>
      <c r="G48" s="11"/>
    </row>
    <row r="50" spans="1:10" s="10" customFormat="1" x14ac:dyDescent="0.2">
      <c r="A50" s="10" t="s">
        <v>6</v>
      </c>
      <c r="B50" s="10">
        <f>+SUM(B39:B40)/B47</f>
        <v>4.5183321351545649</v>
      </c>
      <c r="C50" s="10">
        <f>+SUM(C39:C40)/C47</f>
        <v>4.4165202108963095</v>
      </c>
    </row>
    <row r="51" spans="1:10" s="10" customFormat="1" x14ac:dyDescent="0.2">
      <c r="A51" s="10" t="s">
        <v>5</v>
      </c>
      <c r="B51" s="10">
        <f>+B41/B47</f>
        <v>4.5183321351545649</v>
      </c>
      <c r="C51" s="10">
        <f>+C41/C47</f>
        <v>4.4165202108963095</v>
      </c>
    </row>
    <row r="52" spans="1:10" s="10" customFormat="1" x14ac:dyDescent="0.2">
      <c r="A52" s="10" t="s">
        <v>4</v>
      </c>
      <c r="B52" s="10">
        <f>+(B41-B44)/B47</f>
        <v>4.2828900071890725</v>
      </c>
      <c r="C52" s="10">
        <f>+(C41-C44)/C47</f>
        <v>4.3567662565905101</v>
      </c>
    </row>
    <row r="53" spans="1:10" s="6" customFormat="1" x14ac:dyDescent="0.2">
      <c r="A53" s="6" t="s">
        <v>3</v>
      </c>
      <c r="B53" s="6">
        <f>+B48/B41</f>
        <v>0</v>
      </c>
      <c r="C53" s="6">
        <f>+C48/C41</f>
        <v>6.4019100676482296E-2</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36.507907979870595</v>
      </c>
      <c r="C55" s="7">
        <f>IF(C42=0,IF(C54="","","*"&amp;TEXT(C54,"0.0x")),(C41+C42-C44)/C47)</f>
        <v>35.86818980667838</v>
      </c>
      <c r="D55" s="7"/>
      <c r="E55" s="7"/>
      <c r="F55" s="7"/>
      <c r="G55" s="7"/>
      <c r="H55" s="7" t="str">
        <f t="shared" ref="H55:J55" si="9">IF(H42=0,IF(H54="","",CONCATENATE("* ",H54,"x")),(H41+H42-H44)/H47)</f>
        <v/>
      </c>
      <c r="I55" s="7" t="str">
        <f t="shared" si="9"/>
        <v/>
      </c>
      <c r="J55" s="7" t="str">
        <f t="shared" si="9"/>
        <v/>
      </c>
    </row>
    <row r="56" spans="1:10" x14ac:dyDescent="0.2">
      <c r="G56" s="3"/>
    </row>
    <row r="57" spans="1:10" ht="80.25" customHeight="1" x14ac:dyDescent="0.2">
      <c r="A57" s="5" t="s">
        <v>0</v>
      </c>
      <c r="B57" s="4" t="s">
        <v>104</v>
      </c>
      <c r="C57" s="4" t="s">
        <v>104</v>
      </c>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2E5D-6C4A-41A5-8DE9-AF11641F09EB}">
  <dimension ref="A2:K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534</v>
      </c>
    </row>
    <row r="3" spans="1:11" s="35" customFormat="1" x14ac:dyDescent="0.2">
      <c r="A3" s="36" t="s">
        <v>43</v>
      </c>
      <c r="B3" s="35" t="s">
        <v>536</v>
      </c>
    </row>
    <row r="4" spans="1:11" x14ac:dyDescent="0.2">
      <c r="A4" s="34" t="s">
        <v>41</v>
      </c>
      <c r="B4" s="1" t="s">
        <v>40</v>
      </c>
    </row>
    <row r="5" spans="1:11" x14ac:dyDescent="0.2">
      <c r="A5" s="34" t="s">
        <v>39</v>
      </c>
    </row>
    <row r="6" spans="1:11" x14ac:dyDescent="0.2">
      <c r="A6" s="34" t="s">
        <v>38</v>
      </c>
      <c r="B6" s="1">
        <v>2</v>
      </c>
    </row>
    <row r="7" spans="1:11" x14ac:dyDescent="0.2">
      <c r="A7" s="34" t="s">
        <v>37</v>
      </c>
      <c r="B7" s="1" t="s">
        <v>413</v>
      </c>
    </row>
    <row r="8" spans="1:11" x14ac:dyDescent="0.2">
      <c r="A8" s="34" t="s">
        <v>281</v>
      </c>
      <c r="B8" s="1" t="s">
        <v>393</v>
      </c>
    </row>
    <row r="9" spans="1:11" x14ac:dyDescent="0.2">
      <c r="A9" s="22"/>
    </row>
    <row r="10" spans="1:11" x14ac:dyDescent="0.2">
      <c r="A10" s="22" t="s">
        <v>36</v>
      </c>
      <c r="B10" s="33">
        <v>44377</v>
      </c>
      <c r="C10" s="33">
        <v>44286</v>
      </c>
      <c r="D10" s="33">
        <v>44196</v>
      </c>
      <c r="E10" s="33">
        <v>44104</v>
      </c>
      <c r="F10" s="33">
        <v>44012</v>
      </c>
      <c r="G10" s="33">
        <f>EOMONTH(F10,-3)</f>
        <v>43921</v>
      </c>
      <c r="H10" s="33">
        <f t="shared" ref="H10:K10" si="0">EOMONTH(G10,-3)</f>
        <v>43830</v>
      </c>
      <c r="I10" s="33">
        <f t="shared" si="0"/>
        <v>43738</v>
      </c>
      <c r="J10" s="33">
        <f t="shared" si="0"/>
        <v>43646</v>
      </c>
      <c r="K10" s="33">
        <f t="shared" si="0"/>
        <v>43555</v>
      </c>
    </row>
    <row r="12" spans="1:11" x14ac:dyDescent="0.2">
      <c r="A12" s="15" t="s">
        <v>35</v>
      </c>
      <c r="B12" s="19">
        <v>273.017</v>
      </c>
      <c r="C12" s="19">
        <v>267.31599999999997</v>
      </c>
      <c r="D12" s="19">
        <v>285.71300000000002</v>
      </c>
      <c r="E12" s="19">
        <v>251.42499999999998</v>
      </c>
      <c r="F12" s="19">
        <v>177.09700000000001</v>
      </c>
      <c r="G12" s="19">
        <v>217.78899999999999</v>
      </c>
      <c r="H12" s="19">
        <v>312.76100000000014</v>
      </c>
      <c r="I12" s="19">
        <v>266.52500000000003</v>
      </c>
      <c r="J12" s="19">
        <v>266.19100000000003</v>
      </c>
      <c r="K12" s="19">
        <v>222.02800000000002</v>
      </c>
    </row>
    <row r="13" spans="1:11" s="28" customFormat="1" x14ac:dyDescent="0.2">
      <c r="A13" s="28" t="s">
        <v>34</v>
      </c>
      <c r="B13" s="28">
        <f>+B12/F12-1</f>
        <v>0.54162408171792853</v>
      </c>
      <c r="C13" s="28">
        <f>+C12/G12-1</f>
        <v>0.22740817947646574</v>
      </c>
      <c r="D13" s="28">
        <f>+D12/H12-1</f>
        <v>-8.6481370759142306E-2</v>
      </c>
      <c r="E13" s="28">
        <f>+E12/I12-1</f>
        <v>-5.6655098020823802E-2</v>
      </c>
      <c r="F13" s="28">
        <f>+F12/J12-1</f>
        <v>-0.3346995202692804</v>
      </c>
      <c r="G13" s="28">
        <f t="shared" ref="G13" si="1">+G12/K12-1</f>
        <v>-1.9092186571063263E-2</v>
      </c>
    </row>
    <row r="14" spans="1:11" s="23" customFormat="1" x14ac:dyDescent="0.2">
      <c r="A14" s="31" t="s">
        <v>33</v>
      </c>
      <c r="B14" s="32" t="s">
        <v>32</v>
      </c>
      <c r="C14" s="32" t="s">
        <v>32</v>
      </c>
      <c r="D14" s="32" t="s">
        <v>32</v>
      </c>
      <c r="E14" s="32" t="s">
        <v>32</v>
      </c>
      <c r="F14" s="32" t="s">
        <v>32</v>
      </c>
      <c r="G14" s="32" t="s">
        <v>32</v>
      </c>
      <c r="H14" s="32"/>
      <c r="I14" s="32"/>
      <c r="J14" s="31"/>
      <c r="K14" s="31"/>
    </row>
    <row r="16" spans="1:11" s="22" customFormat="1" x14ac:dyDescent="0.2">
      <c r="A16" s="30" t="s">
        <v>31</v>
      </c>
      <c r="B16" s="29">
        <v>60.277000000000001</v>
      </c>
      <c r="C16" s="29">
        <v>64.941999999999993</v>
      </c>
      <c r="D16" s="29">
        <v>86.138999999999996</v>
      </c>
      <c r="E16" s="29">
        <v>68.733999999999995</v>
      </c>
      <c r="F16" s="29">
        <v>38</v>
      </c>
      <c r="G16" s="29">
        <v>48.698999999999998</v>
      </c>
      <c r="H16" s="29">
        <v>80.082999999999998</v>
      </c>
      <c r="I16" s="29">
        <v>66.272999999999996</v>
      </c>
      <c r="J16" s="29">
        <v>55.77</v>
      </c>
      <c r="K16" s="29">
        <v>52.252000000000002</v>
      </c>
    </row>
    <row r="17" spans="1:11" s="28" customFormat="1" x14ac:dyDescent="0.2">
      <c r="A17" s="28" t="s">
        <v>30</v>
      </c>
      <c r="B17" s="28">
        <f>+B16/B12</f>
        <v>0.22078112351978083</v>
      </c>
      <c r="C17" s="28">
        <f>+C16/C12</f>
        <v>0.24294093881398793</v>
      </c>
      <c r="D17" s="28">
        <f>+D16/D12</f>
        <v>0.30148785669535511</v>
      </c>
      <c r="E17" s="28">
        <f>+E16/E12</f>
        <v>0.27337774684299493</v>
      </c>
      <c r="F17" s="28">
        <f>+F16/F12</f>
        <v>0.21457167540952132</v>
      </c>
      <c r="G17" s="28">
        <f t="shared" ref="G17:K17" si="2">+G16/G12</f>
        <v>0.22360633457153484</v>
      </c>
      <c r="H17" s="28">
        <f t="shared" si="2"/>
        <v>0.25605174558208971</v>
      </c>
      <c r="I17" s="28">
        <f t="shared" si="2"/>
        <v>0.2486558484194728</v>
      </c>
      <c r="J17" s="28">
        <f t="shared" si="2"/>
        <v>0.20951121563088157</v>
      </c>
      <c r="K17" s="28">
        <f t="shared" si="2"/>
        <v>0.23533968688633866</v>
      </c>
    </row>
    <row r="18" spans="1:11" s="23" customFormat="1" x14ac:dyDescent="0.2"/>
    <row r="19" spans="1:11" s="23" customFormat="1" x14ac:dyDescent="0.2">
      <c r="A19" s="15" t="s">
        <v>29</v>
      </c>
      <c r="B19" s="19">
        <v>0</v>
      </c>
      <c r="C19" s="19">
        <v>0</v>
      </c>
      <c r="D19" s="19">
        <v>0</v>
      </c>
      <c r="E19" s="19">
        <v>0</v>
      </c>
      <c r="F19" s="19">
        <v>0</v>
      </c>
      <c r="G19" s="19">
        <v>0</v>
      </c>
      <c r="H19" s="19">
        <v>0</v>
      </c>
      <c r="I19" s="19">
        <v>0</v>
      </c>
      <c r="J19" s="19">
        <v>0</v>
      </c>
      <c r="K19" s="19">
        <v>0</v>
      </c>
    </row>
    <row r="20" spans="1:11" s="23" customFormat="1" x14ac:dyDescent="0.2">
      <c r="A20" s="15" t="s">
        <v>28</v>
      </c>
      <c r="B20" s="19">
        <v>0</v>
      </c>
      <c r="C20" s="19">
        <v>0</v>
      </c>
      <c r="D20" s="19">
        <v>0</v>
      </c>
      <c r="E20" s="19">
        <v>0</v>
      </c>
      <c r="F20" s="19">
        <v>0</v>
      </c>
      <c r="G20" s="19">
        <v>0</v>
      </c>
      <c r="H20" s="19">
        <v>0</v>
      </c>
      <c r="I20" s="19">
        <v>0</v>
      </c>
      <c r="J20" s="19">
        <v>0</v>
      </c>
      <c r="K20" s="19">
        <v>0</v>
      </c>
    </row>
    <row r="21" spans="1:11" s="23" customFormat="1" x14ac:dyDescent="0.2">
      <c r="A21" s="15" t="s">
        <v>18</v>
      </c>
      <c r="B21" s="19">
        <v>0</v>
      </c>
      <c r="C21" s="19">
        <v>0</v>
      </c>
      <c r="D21" s="19">
        <v>0</v>
      </c>
      <c r="E21" s="19">
        <v>0</v>
      </c>
      <c r="F21" s="19">
        <v>0</v>
      </c>
      <c r="G21" s="19">
        <v>0</v>
      </c>
      <c r="H21" s="19">
        <v>0</v>
      </c>
      <c r="I21" s="19">
        <v>0</v>
      </c>
      <c r="J21" s="19">
        <v>0</v>
      </c>
      <c r="K21" s="19">
        <v>0</v>
      </c>
    </row>
    <row r="22" spans="1:11" s="22" customFormat="1" x14ac:dyDescent="0.2">
      <c r="A22" s="22" t="s">
        <v>23</v>
      </c>
      <c r="B22" s="20">
        <f>SUM(B16,B19:B21)</f>
        <v>60.277000000000001</v>
      </c>
      <c r="C22" s="20">
        <f>SUM(C16,C19:C21)</f>
        <v>64.941999999999993</v>
      </c>
      <c r="D22" s="20">
        <f>SUM(D16,D19:D21)</f>
        <v>86.138999999999996</v>
      </c>
      <c r="E22" s="20">
        <f>SUM(E16,E19:E21)</f>
        <v>68.733999999999995</v>
      </c>
      <c r="F22" s="20">
        <f>SUM(F16,F19:F21)</f>
        <v>38</v>
      </c>
      <c r="G22" s="20">
        <f t="shared" ref="G22:K22" si="3">SUM(G16,G19:G21)</f>
        <v>48.698999999999998</v>
      </c>
      <c r="H22" s="20">
        <f t="shared" si="3"/>
        <v>80.082999999999998</v>
      </c>
      <c r="I22" s="20">
        <f t="shared" si="3"/>
        <v>66.272999999999996</v>
      </c>
      <c r="J22" s="20">
        <f t="shared" si="3"/>
        <v>55.77</v>
      </c>
      <c r="K22" s="20">
        <f t="shared" si="3"/>
        <v>52.252000000000002</v>
      </c>
    </row>
    <row r="23" spans="1:11" s="22" customFormat="1" x14ac:dyDescent="0.2">
      <c r="B23" s="20"/>
      <c r="C23" s="20"/>
      <c r="D23" s="20"/>
      <c r="E23" s="20"/>
      <c r="F23" s="20"/>
      <c r="G23" s="20"/>
      <c r="H23" s="20"/>
      <c r="I23" s="20"/>
      <c r="J23" s="20"/>
      <c r="K23" s="20"/>
    </row>
    <row r="24" spans="1:11" s="22" customFormat="1" x14ac:dyDescent="0.2">
      <c r="A24" s="22" t="s">
        <v>27</v>
      </c>
      <c r="B24" s="20">
        <f>SUM(B22:E22)</f>
        <v>280.09199999999998</v>
      </c>
      <c r="C24" s="20">
        <f>SUM(C22:F22)</f>
        <v>257.815</v>
      </c>
      <c r="D24" s="20">
        <f>SUM(D22:G22)</f>
        <v>241.572</v>
      </c>
      <c r="E24" s="20">
        <f>SUM(E22:H22)</f>
        <v>235.51599999999999</v>
      </c>
      <c r="F24" s="20">
        <f>SUM(F22:I22)</f>
        <v>233.05499999999998</v>
      </c>
      <c r="G24" s="20">
        <f t="shared" ref="G24:H24" si="4">SUM(G22:J22)</f>
        <v>250.82499999999999</v>
      </c>
      <c r="H24" s="20">
        <f t="shared" si="4"/>
        <v>254.37800000000001</v>
      </c>
      <c r="I24" s="20">
        <f>SUM(I22:K22)</f>
        <v>174.29500000000002</v>
      </c>
      <c r="J24" s="20">
        <f>SUM(J22:K22)</f>
        <v>108.02200000000001</v>
      </c>
      <c r="K24" s="20"/>
    </row>
    <row r="25" spans="1:11" s="23" customFormat="1" x14ac:dyDescent="0.2">
      <c r="A25" s="15" t="s">
        <v>26</v>
      </c>
      <c r="B25" s="27">
        <v>0</v>
      </c>
      <c r="C25" s="27">
        <v>0</v>
      </c>
      <c r="D25" s="27">
        <v>0</v>
      </c>
      <c r="E25" s="27">
        <v>0</v>
      </c>
      <c r="F25" s="27">
        <v>0</v>
      </c>
      <c r="G25" s="27">
        <v>0</v>
      </c>
      <c r="H25" s="27">
        <v>0</v>
      </c>
      <c r="I25" s="27">
        <v>0</v>
      </c>
      <c r="J25" s="27">
        <v>0</v>
      </c>
      <c r="K25" s="27">
        <v>0</v>
      </c>
    </row>
    <row r="26" spans="1:11" s="23" customFormat="1" x14ac:dyDescent="0.2">
      <c r="A26" s="15" t="s">
        <v>25</v>
      </c>
      <c r="B26" s="21">
        <v>0</v>
      </c>
      <c r="C26" s="21">
        <v>0</v>
      </c>
      <c r="D26" s="21">
        <v>0</v>
      </c>
      <c r="E26" s="21">
        <v>0</v>
      </c>
      <c r="F26" s="21">
        <v>0</v>
      </c>
      <c r="G26" s="21">
        <v>0</v>
      </c>
      <c r="H26" s="21">
        <v>0</v>
      </c>
      <c r="I26" s="21">
        <v>0</v>
      </c>
      <c r="J26" s="21">
        <v>0</v>
      </c>
      <c r="K26" s="26"/>
    </row>
    <row r="27" spans="1:11" s="24" customFormat="1" x14ac:dyDescent="0.2">
      <c r="A27" s="22" t="s">
        <v>24</v>
      </c>
      <c r="B27" s="20">
        <f>SUM(B24:B26)</f>
        <v>280.09199999999998</v>
      </c>
      <c r="C27" s="20">
        <f>SUM(C24:C26)</f>
        <v>257.815</v>
      </c>
      <c r="D27" s="20">
        <f>SUM(D24:D26)</f>
        <v>241.572</v>
      </c>
      <c r="E27" s="20">
        <f>SUM(E24:E26)</f>
        <v>235.51599999999999</v>
      </c>
      <c r="F27" s="20">
        <f>SUM(F24:F26)</f>
        <v>233.05499999999998</v>
      </c>
      <c r="G27" s="20">
        <f t="shared" ref="G27:J27" si="5">SUM(G24:G26)</f>
        <v>250.82499999999999</v>
      </c>
      <c r="H27" s="20">
        <f t="shared" si="5"/>
        <v>254.37800000000001</v>
      </c>
      <c r="I27" s="20">
        <f t="shared" si="5"/>
        <v>174.29500000000002</v>
      </c>
      <c r="J27" s="20">
        <f t="shared" si="5"/>
        <v>108.02200000000001</v>
      </c>
      <c r="K27" s="25"/>
    </row>
    <row r="28" spans="1:11" s="23" customFormat="1" x14ac:dyDescent="0.2"/>
    <row r="29" spans="1:11" s="22" customFormat="1" x14ac:dyDescent="0.2">
      <c r="A29" s="22" t="s">
        <v>23</v>
      </c>
      <c r="B29" s="20">
        <f t="shared" ref="B29:C29" si="6">B22</f>
        <v>60.277000000000001</v>
      </c>
      <c r="C29" s="20">
        <f t="shared" si="6"/>
        <v>64.941999999999993</v>
      </c>
      <c r="D29" s="20">
        <f t="shared" ref="D29:E29" si="7">D22</f>
        <v>86.138999999999996</v>
      </c>
      <c r="E29" s="20">
        <f t="shared" si="7"/>
        <v>68.733999999999995</v>
      </c>
      <c r="F29" s="20">
        <f t="shared" ref="F29:K29" si="8">F22</f>
        <v>38</v>
      </c>
      <c r="G29" s="20">
        <f t="shared" si="8"/>
        <v>48.698999999999998</v>
      </c>
      <c r="H29" s="20">
        <f t="shared" si="8"/>
        <v>80.082999999999998</v>
      </c>
      <c r="I29" s="20">
        <f t="shared" si="8"/>
        <v>66.272999999999996</v>
      </c>
      <c r="J29" s="20">
        <f t="shared" si="8"/>
        <v>55.77</v>
      </c>
      <c r="K29" s="20">
        <f t="shared" si="8"/>
        <v>52.252000000000002</v>
      </c>
    </row>
    <row r="30" spans="1:11" s="11" customFormat="1" x14ac:dyDescent="0.2">
      <c r="A30" s="19" t="s">
        <v>22</v>
      </c>
      <c r="B30" s="19">
        <v>-15.233000000000001</v>
      </c>
      <c r="C30" s="19">
        <v>-24.771000000000001</v>
      </c>
      <c r="D30" s="19">
        <v>-7.9839999999999947</v>
      </c>
      <c r="E30" s="19">
        <v>-15.481</v>
      </c>
      <c r="F30" s="19">
        <v>-15.887</v>
      </c>
      <c r="G30" s="19">
        <v>-15.222000000000001</v>
      </c>
      <c r="H30" s="19">
        <v>-27.598999999999997</v>
      </c>
      <c r="I30" s="19">
        <v>-13.133000000000003</v>
      </c>
      <c r="J30" s="19">
        <v>-13.163000000000004</v>
      </c>
      <c r="K30" s="19">
        <v>-23.622999999999998</v>
      </c>
    </row>
    <row r="31" spans="1:11" s="11" customFormat="1" x14ac:dyDescent="0.2">
      <c r="A31" s="19" t="s">
        <v>21</v>
      </c>
      <c r="B31" s="19">
        <v>-14.957000000000001</v>
      </c>
      <c r="C31" s="19">
        <v>-0.995</v>
      </c>
      <c r="D31" s="19">
        <v>-20.283000000000001</v>
      </c>
      <c r="E31" s="19">
        <v>-0.29099999999999998</v>
      </c>
      <c r="F31" s="19">
        <v>-0.12600000000000011</v>
      </c>
      <c r="G31" s="19">
        <v>-1.67</v>
      </c>
      <c r="H31" s="19">
        <v>-5.504999999999999</v>
      </c>
      <c r="I31" s="19">
        <v>-1.4689999999999994</v>
      </c>
      <c r="J31" s="19">
        <v>-12.698</v>
      </c>
      <c r="K31" s="19">
        <v>-2.2749999999999999</v>
      </c>
    </row>
    <row r="32" spans="1:11" s="11" customFormat="1" x14ac:dyDescent="0.2">
      <c r="A32" s="19" t="s">
        <v>20</v>
      </c>
      <c r="B32" s="19">
        <v>-10.272</v>
      </c>
      <c r="C32" s="19">
        <v>9.8129999999999988</v>
      </c>
      <c r="D32" s="19">
        <v>-1.5380000000000016</v>
      </c>
      <c r="E32" s="19">
        <v>24.364000000000001</v>
      </c>
      <c r="F32" s="19">
        <v>6.7964999999999982</v>
      </c>
      <c r="G32" s="19">
        <v>-28.211500000000004</v>
      </c>
      <c r="H32" s="19">
        <v>15.562999999999995</v>
      </c>
      <c r="I32" s="19">
        <v>-1.2849999999999966</v>
      </c>
      <c r="J32" s="19">
        <v>-3.0010000000000012</v>
      </c>
      <c r="K32" s="19">
        <v>-31.333000000000002</v>
      </c>
    </row>
    <row r="33" spans="1:11" s="11" customFormat="1" x14ac:dyDescent="0.2">
      <c r="A33" s="19" t="s">
        <v>19</v>
      </c>
      <c r="B33" s="19">
        <v>0</v>
      </c>
      <c r="C33" s="19">
        <v>0</v>
      </c>
      <c r="D33" s="19">
        <v>0</v>
      </c>
      <c r="E33" s="19">
        <v>0</v>
      </c>
      <c r="F33" s="19">
        <v>0</v>
      </c>
      <c r="G33" s="19">
        <v>0</v>
      </c>
      <c r="H33" s="19">
        <v>0</v>
      </c>
      <c r="I33" s="19">
        <v>0</v>
      </c>
      <c r="J33" s="19">
        <v>0</v>
      </c>
      <c r="K33" s="19">
        <v>0</v>
      </c>
    </row>
    <row r="34" spans="1:11" s="11" customFormat="1" x14ac:dyDescent="0.2">
      <c r="A34" s="19" t="s">
        <v>18</v>
      </c>
      <c r="B34" s="21">
        <v>0</v>
      </c>
      <c r="C34" s="21">
        <v>0</v>
      </c>
      <c r="D34" s="21">
        <v>0</v>
      </c>
      <c r="E34" s="21">
        <v>0</v>
      </c>
      <c r="F34" s="21">
        <v>0</v>
      </c>
      <c r="G34" s="21">
        <v>0</v>
      </c>
      <c r="H34" s="21">
        <v>0</v>
      </c>
      <c r="I34" s="21">
        <v>0</v>
      </c>
      <c r="J34" s="21">
        <v>0</v>
      </c>
      <c r="K34" s="21">
        <v>0</v>
      </c>
    </row>
    <row r="35" spans="1:11" s="20" customFormat="1" x14ac:dyDescent="0.2">
      <c r="A35" s="20" t="s">
        <v>17</v>
      </c>
      <c r="B35" s="20">
        <v>20.724</v>
      </c>
      <c r="C35" s="20">
        <v>47.469000000000001</v>
      </c>
      <c r="D35" s="20">
        <v>41.690000000000012</v>
      </c>
      <c r="E35" s="20">
        <v>81.936999999999998</v>
      </c>
      <c r="F35" s="20">
        <v>22.733999999999998</v>
      </c>
      <c r="G35" s="20">
        <v>-6.7169999999999996</v>
      </c>
      <c r="H35" s="20">
        <v>78.31</v>
      </c>
      <c r="I35" s="20">
        <v>41.205999999999996</v>
      </c>
      <c r="J35" s="20">
        <v>28.382000000000005</v>
      </c>
      <c r="K35" s="20">
        <v>8.6199999999999992</v>
      </c>
    </row>
    <row r="36" spans="1:11" s="11" customFormat="1" x14ac:dyDescent="0.2">
      <c r="A36" s="19" t="s">
        <v>16</v>
      </c>
      <c r="B36" s="21">
        <v>-5.3860000000000001</v>
      </c>
      <c r="C36" s="21">
        <v>-2.5070000000000001</v>
      </c>
      <c r="D36" s="21">
        <v>-16.003999999999998</v>
      </c>
      <c r="E36" s="21">
        <v>-2.7069999999999999</v>
      </c>
      <c r="F36" s="21">
        <v>-1.9050000000000002</v>
      </c>
      <c r="G36" s="21">
        <v>-6.4669999999999996</v>
      </c>
      <c r="H36" s="21">
        <v>-13.172000000000004</v>
      </c>
      <c r="I36" s="21">
        <v>-19.695</v>
      </c>
      <c r="J36" s="21">
        <v>-15.873000000000001</v>
      </c>
      <c r="K36" s="21">
        <v>-19.931000000000001</v>
      </c>
    </row>
    <row r="37" spans="1:11" s="20" customFormat="1" x14ac:dyDescent="0.2">
      <c r="A37" s="20" t="s">
        <v>15</v>
      </c>
      <c r="B37" s="20">
        <f>+B35+B36</f>
        <v>15.338000000000001</v>
      </c>
      <c r="C37" s="20">
        <f>+C35+C36</f>
        <v>44.962000000000003</v>
      </c>
      <c r="D37" s="20">
        <f>+D35+D36</f>
        <v>25.686000000000014</v>
      </c>
      <c r="E37" s="20">
        <f>+E35+E36</f>
        <v>79.23</v>
      </c>
      <c r="F37" s="20">
        <f>+F35+F36</f>
        <v>20.828999999999997</v>
      </c>
      <c r="G37" s="20">
        <f t="shared" ref="G37:K37" si="9">+G35+G36</f>
        <v>-13.183999999999999</v>
      </c>
      <c r="H37" s="20">
        <f t="shared" si="9"/>
        <v>65.138000000000005</v>
      </c>
      <c r="I37" s="20">
        <f t="shared" si="9"/>
        <v>21.510999999999996</v>
      </c>
      <c r="J37" s="20">
        <f t="shared" si="9"/>
        <v>12.509000000000004</v>
      </c>
      <c r="K37" s="20">
        <f t="shared" si="9"/>
        <v>-11.311000000000002</v>
      </c>
    </row>
    <row r="39" spans="1:11" s="16" customFormat="1" x14ac:dyDescent="0.2">
      <c r="A39" s="18" t="s">
        <v>14</v>
      </c>
      <c r="B39" s="19">
        <v>15.581</v>
      </c>
      <c r="C39" s="19">
        <v>16.033999999999999</v>
      </c>
      <c r="D39" s="19">
        <v>16.716000000000001</v>
      </c>
      <c r="E39" s="19">
        <v>0</v>
      </c>
      <c r="F39" s="19">
        <v>0</v>
      </c>
      <c r="G39" s="19"/>
      <c r="H39" s="19"/>
      <c r="I39" s="19"/>
      <c r="J39" s="19"/>
      <c r="K39" s="19"/>
    </row>
    <row r="40" spans="1:11" s="16" customFormat="1" x14ac:dyDescent="0.2">
      <c r="A40" s="18" t="s">
        <v>13</v>
      </c>
      <c r="B40" s="19">
        <v>1353.2620000000002</v>
      </c>
      <c r="C40" s="19">
        <v>1369.645</v>
      </c>
      <c r="D40" s="19">
        <f>1344.08-D39</f>
        <v>1327.364</v>
      </c>
      <c r="E40" s="19">
        <v>1250</v>
      </c>
      <c r="F40" s="19">
        <v>1250</v>
      </c>
      <c r="G40" s="19"/>
      <c r="H40" s="19"/>
      <c r="I40" s="19"/>
      <c r="J40" s="19"/>
      <c r="K40" s="19"/>
    </row>
    <row r="41" spans="1:11" s="16" customFormat="1" x14ac:dyDescent="0.2">
      <c r="A41" s="18" t="s">
        <v>12</v>
      </c>
      <c r="B41" s="19">
        <f>B39+B40+153.968+304.743</f>
        <v>1827.5540000000001</v>
      </c>
      <c r="C41" s="19">
        <f>C39+C40+446.1</f>
        <v>1831.779</v>
      </c>
      <c r="D41" s="19">
        <f>D39+D40+444</f>
        <v>1788.08</v>
      </c>
      <c r="E41" s="19">
        <f>E39+E40+530</f>
        <v>1780</v>
      </c>
      <c r="F41" s="19">
        <f>F39+F40+530</f>
        <v>1780</v>
      </c>
      <c r="G41" s="19"/>
      <c r="H41" s="19"/>
      <c r="I41" s="19"/>
      <c r="J41" s="19"/>
      <c r="K41" s="19"/>
    </row>
    <row r="42" spans="1:11" s="16" customFormat="1" x14ac:dyDescent="0.2">
      <c r="A42" s="18" t="s">
        <v>11</v>
      </c>
      <c r="B42" s="17">
        <v>0</v>
      </c>
      <c r="C42" s="17">
        <v>0</v>
      </c>
      <c r="D42" s="17">
        <v>0</v>
      </c>
      <c r="E42" s="17">
        <v>0</v>
      </c>
      <c r="F42" s="17">
        <v>0</v>
      </c>
      <c r="G42" s="17"/>
      <c r="H42" s="17"/>
      <c r="I42" s="17"/>
      <c r="J42" s="17"/>
      <c r="K42" s="17"/>
    </row>
    <row r="43" spans="1:11" x14ac:dyDescent="0.2">
      <c r="B43" s="16"/>
      <c r="C43" s="16"/>
      <c r="D43" s="16"/>
      <c r="E43" s="16"/>
      <c r="F43" s="16"/>
      <c r="G43" s="16"/>
      <c r="H43" s="16"/>
    </row>
    <row r="44" spans="1:11" x14ac:dyDescent="0.2">
      <c r="A44" s="15" t="s">
        <v>10</v>
      </c>
      <c r="B44" s="27">
        <v>117.636</v>
      </c>
      <c r="C44" s="27">
        <v>114.01600000000001</v>
      </c>
      <c r="D44" s="27">
        <v>127.673</v>
      </c>
      <c r="E44" s="27">
        <v>73</v>
      </c>
      <c r="F44" s="27">
        <v>73</v>
      </c>
      <c r="G44" s="27"/>
      <c r="H44" s="27"/>
      <c r="I44" s="27"/>
      <c r="J44" s="27"/>
      <c r="K44" s="27"/>
    </row>
    <row r="45" spans="1:11" x14ac:dyDescent="0.2">
      <c r="B45" s="133"/>
      <c r="C45" s="133"/>
      <c r="D45" s="133"/>
    </row>
    <row r="46" spans="1:11" x14ac:dyDescent="0.2">
      <c r="A46" s="1" t="s">
        <v>9</v>
      </c>
      <c r="B46" s="13">
        <f>SUM(B12:E12)</f>
        <v>1077.471</v>
      </c>
      <c r="C46" s="13">
        <f>SUM(C12:F12)</f>
        <v>981.55099999999993</v>
      </c>
      <c r="D46" s="13">
        <f>SUM(D12:G12)</f>
        <v>932.024</v>
      </c>
      <c r="E46" s="12">
        <v>960.3</v>
      </c>
      <c r="F46" s="12">
        <v>960.3</v>
      </c>
      <c r="G46" s="11"/>
      <c r="H46" s="11"/>
      <c r="I46" s="11"/>
      <c r="J46" s="11"/>
    </row>
    <row r="47" spans="1:11" x14ac:dyDescent="0.2">
      <c r="A47" s="1" t="s">
        <v>8</v>
      </c>
      <c r="B47" s="13">
        <f>B27</f>
        <v>280.09199999999998</v>
      </c>
      <c r="C47" s="13">
        <f>C27</f>
        <v>257.815</v>
      </c>
      <c r="D47" s="13">
        <f>D27</f>
        <v>241.572</v>
      </c>
      <c r="E47" s="12">
        <v>250.5</v>
      </c>
      <c r="F47" s="12">
        <v>250.5</v>
      </c>
      <c r="G47" s="11"/>
      <c r="H47" s="11"/>
      <c r="I47" s="11"/>
      <c r="J47" s="11"/>
    </row>
    <row r="48" spans="1:11" x14ac:dyDescent="0.2">
      <c r="A48" s="1" t="s">
        <v>7</v>
      </c>
      <c r="B48" s="13">
        <f>SUM(B37:E37)</f>
        <v>165.21600000000001</v>
      </c>
      <c r="C48" s="13">
        <f>SUM(C37:F37)</f>
        <v>170.70700000000005</v>
      </c>
      <c r="D48" s="13">
        <f>SUM(D37:G37)</f>
        <v>112.56100000000002</v>
      </c>
      <c r="E48" s="12">
        <v>143.35399999999998</v>
      </c>
      <c r="F48" s="12">
        <v>143.35399999999998</v>
      </c>
      <c r="G48" s="11"/>
      <c r="H48" s="11"/>
      <c r="I48" s="11"/>
      <c r="J48" s="11"/>
    </row>
    <row r="50" spans="1:11" s="10" customFormat="1" x14ac:dyDescent="0.2">
      <c r="A50" s="10" t="s">
        <v>6</v>
      </c>
      <c r="B50" s="10">
        <f>+SUM(B39:B40)/B47</f>
        <v>4.8871192322522603</v>
      </c>
      <c r="C50" s="10">
        <f>+SUM(C39:C40)/C47</f>
        <v>5.3747027907608169</v>
      </c>
      <c r="D50" s="10">
        <f>+SUM(D39:D40)/D47</f>
        <v>5.5638898547844944</v>
      </c>
      <c r="E50" s="10">
        <f>+SUM(E39:E40)/E47</f>
        <v>4.9900199600798407</v>
      </c>
      <c r="F50" s="10">
        <f>+SUM(F39:F40)/F47</f>
        <v>4.9900199600798407</v>
      </c>
    </row>
    <row r="51" spans="1:11" s="10" customFormat="1" x14ac:dyDescent="0.2">
      <c r="A51" s="10" t="s">
        <v>5</v>
      </c>
      <c r="B51" s="10">
        <f>+B41/B47</f>
        <v>6.5248346971709301</v>
      </c>
      <c r="C51" s="10">
        <f>+C41/C47</f>
        <v>7.1050132847196634</v>
      </c>
      <c r="D51" s="10">
        <f>+D41/D47</f>
        <v>7.4018512079214478</v>
      </c>
      <c r="E51" s="10">
        <f>+E41/E47</f>
        <v>7.105788423153693</v>
      </c>
      <c r="F51" s="10">
        <f>+F41/F47</f>
        <v>7.105788423153693</v>
      </c>
    </row>
    <row r="52" spans="1:11" s="10" customFormat="1" x14ac:dyDescent="0.2">
      <c r="A52" s="10" t="s">
        <v>4</v>
      </c>
      <c r="B52" s="10">
        <f>+(B41-B44)/B47</f>
        <v>6.1048441226454173</v>
      </c>
      <c r="C52" s="10">
        <f>+(C41-C44)/C47</f>
        <v>6.6627736943156917</v>
      </c>
      <c r="D52" s="10">
        <f>+(D41-D44)/D47</f>
        <v>6.873342109184839</v>
      </c>
      <c r="E52" s="10">
        <f>+(E41-E44)/E47</f>
        <v>6.8143712574850301</v>
      </c>
      <c r="F52" s="10">
        <f>+(F41-F44)/F47</f>
        <v>6.8143712574850301</v>
      </c>
    </row>
    <row r="53" spans="1:11" s="6" customFormat="1" x14ac:dyDescent="0.2">
      <c r="A53" s="6" t="s">
        <v>3</v>
      </c>
      <c r="B53" s="6">
        <f>+B48/B41</f>
        <v>9.0402800683317699E-2</v>
      </c>
      <c r="C53" s="6">
        <f>+C48/C41</f>
        <v>9.3191918894146103E-2</v>
      </c>
      <c r="D53" s="6">
        <f>+D48/D41</f>
        <v>6.2950762829403623E-2</v>
      </c>
      <c r="E53" s="6">
        <f>+E48/E41</f>
        <v>8.0535955056179762E-2</v>
      </c>
      <c r="F53" s="6">
        <f>+F48/F41</f>
        <v>8.0535955056179762E-2</v>
      </c>
    </row>
    <row r="54" spans="1:11" s="6" customFormat="1" x14ac:dyDescent="0.2">
      <c r="A54" s="8" t="s">
        <v>2</v>
      </c>
      <c r="B54" s="9"/>
      <c r="C54" s="9"/>
      <c r="D54" s="9"/>
      <c r="E54" s="9"/>
      <c r="F54" s="9"/>
      <c r="G54" s="9"/>
      <c r="H54" s="9"/>
      <c r="I54" s="9"/>
      <c r="J54" s="9"/>
      <c r="K54" s="8"/>
    </row>
    <row r="55" spans="1:11" s="6" customFormat="1" x14ac:dyDescent="0.2">
      <c r="A55" s="6" t="s">
        <v>1</v>
      </c>
      <c r="B55" s="7" t="str">
        <f>IF(B42=0,IF(B54="","","*"&amp;TEXT(B54,"0.0x")),(B41+B42-B44)/B47)</f>
        <v/>
      </c>
      <c r="C55" s="7" t="str">
        <f>IF(C42=0,IF(C54="","","*"&amp;TEXT(C54,"0.0x")),(C41+C42-C44)/C47)</f>
        <v/>
      </c>
      <c r="D55" s="7" t="str">
        <f>IF(D42=0,IF(D54="","","*"&amp;TEXT(D54,"0.0x")),(D41+D42-D44)/D47)</f>
        <v/>
      </c>
      <c r="E55" s="7" t="str">
        <f>IF(E42=0,IF(E54="","","*"&amp;TEXT(E54,"0.0x")),(E41+E42-E44)/E47)</f>
        <v/>
      </c>
      <c r="F55" s="7" t="str">
        <f>IF(F42=0,IF(F54="","","*"&amp;TEXT(F54,"0.0x")),(F41+F42-F44)/F47)</f>
        <v/>
      </c>
      <c r="G55" s="7"/>
      <c r="H55" s="7"/>
      <c r="I55" s="7"/>
      <c r="J55" s="7"/>
      <c r="K55" s="7" t="str">
        <f t="shared" ref="K55" si="10">IF(K42=0,IF(K54="","",CONCATENATE("* ",K54,"x")),(K41+K42-K44)/K47)</f>
        <v/>
      </c>
    </row>
    <row r="56" spans="1:11" x14ac:dyDescent="0.2">
      <c r="J56" s="3"/>
    </row>
    <row r="57" spans="1:11" ht="80.25" customHeight="1" x14ac:dyDescent="0.2">
      <c r="A57" s="5" t="s">
        <v>0</v>
      </c>
      <c r="B57" s="4" t="s">
        <v>104</v>
      </c>
      <c r="C57" s="4" t="s">
        <v>104</v>
      </c>
      <c r="D57" s="4" t="s">
        <v>104</v>
      </c>
      <c r="E57" s="4" t="s">
        <v>104</v>
      </c>
      <c r="F57" s="4" t="s">
        <v>104</v>
      </c>
      <c r="G57" s="4"/>
      <c r="H57" s="4"/>
      <c r="I57" s="4"/>
      <c r="J57" s="4"/>
      <c r="K57" s="4"/>
    </row>
    <row r="58" spans="1:11" x14ac:dyDescent="0.2">
      <c r="A58" s="2"/>
      <c r="B58" s="3"/>
      <c r="C58" s="3"/>
      <c r="D58" s="3"/>
      <c r="E58" s="3"/>
      <c r="F58" s="3"/>
    </row>
    <row r="59" spans="1:11" x14ac:dyDescent="0.2">
      <c r="A59" s="2"/>
    </row>
  </sheetData>
  <pageMargins left="0.7" right="0.7" top="0.75" bottom="0.75" header="0.3" footer="0.3"/>
  <pageSetup orientation="portrait" r:id="rId1"/>
  <ignoredErrors>
    <ignoredError sqref="C46:D46" formulaRange="1"/>
  </ignoredError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30E5-45E5-4B0B-91D0-A8550F991170}">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537</v>
      </c>
    </row>
    <row r="3" spans="1:10" s="35" customFormat="1" x14ac:dyDescent="0.2">
      <c r="A3" s="36" t="s">
        <v>43</v>
      </c>
      <c r="B3" s="35" t="s">
        <v>540</v>
      </c>
    </row>
    <row r="4" spans="1:10" x14ac:dyDescent="0.2">
      <c r="A4" s="34" t="s">
        <v>41</v>
      </c>
      <c r="B4" s="1" t="s">
        <v>40</v>
      </c>
    </row>
    <row r="5" spans="1:10" x14ac:dyDescent="0.2">
      <c r="A5" s="34" t="s">
        <v>39</v>
      </c>
    </row>
    <row r="6" spans="1:10" x14ac:dyDescent="0.2">
      <c r="A6" s="34" t="s">
        <v>38</v>
      </c>
      <c r="B6" s="1">
        <v>3</v>
      </c>
    </row>
    <row r="7" spans="1:10" x14ac:dyDescent="0.2">
      <c r="A7" s="34" t="s">
        <v>37</v>
      </c>
      <c r="B7" s="1" t="s">
        <v>422</v>
      </c>
    </row>
    <row r="8" spans="1:10" x14ac:dyDescent="0.2">
      <c r="A8" s="34" t="s">
        <v>281</v>
      </c>
      <c r="B8" s="1" t="s">
        <v>539</v>
      </c>
    </row>
    <row r="9" spans="1:10" x14ac:dyDescent="0.2">
      <c r="A9" s="22"/>
    </row>
    <row r="10" spans="1:10" x14ac:dyDescent="0.2">
      <c r="A10" s="22" t="s">
        <v>36</v>
      </c>
      <c r="B10" s="33">
        <v>44286</v>
      </c>
      <c r="C10" s="33">
        <v>44196</v>
      </c>
      <c r="D10" s="33">
        <v>44104</v>
      </c>
      <c r="E10" s="33">
        <f>EOMONTH(D10,-3)</f>
        <v>44012</v>
      </c>
      <c r="F10" s="33">
        <f t="shared" ref="F10:J10" si="0">EOMONTH(E10,-3)</f>
        <v>43921</v>
      </c>
      <c r="G10" s="33">
        <f t="shared" si="0"/>
        <v>43830</v>
      </c>
      <c r="H10" s="33">
        <f t="shared" si="0"/>
        <v>43738</v>
      </c>
      <c r="I10" s="33">
        <f t="shared" si="0"/>
        <v>43646</v>
      </c>
      <c r="J10" s="33">
        <f t="shared" si="0"/>
        <v>43555</v>
      </c>
    </row>
    <row r="12" spans="1:10" x14ac:dyDescent="0.2">
      <c r="A12" s="15" t="s">
        <v>35</v>
      </c>
      <c r="B12" s="19">
        <v>245.28</v>
      </c>
      <c r="C12" s="19">
        <v>238.23</v>
      </c>
      <c r="D12" s="19">
        <v>298.58999999999997</v>
      </c>
      <c r="E12" s="19">
        <v>293.48099999999999</v>
      </c>
      <c r="F12" s="19">
        <v>226.76</v>
      </c>
      <c r="G12" s="19">
        <v>232.55199999999999</v>
      </c>
      <c r="H12" s="19">
        <v>282.07499999999999</v>
      </c>
      <c r="I12" s="19">
        <v>287.85500000000002</v>
      </c>
      <c r="J12" s="19">
        <v>216.107</v>
      </c>
    </row>
    <row r="13" spans="1:10" s="28" customFormat="1" x14ac:dyDescent="0.2">
      <c r="A13" s="28" t="s">
        <v>34</v>
      </c>
      <c r="B13" s="28">
        <f>+B12/F12-1</f>
        <v>8.1672252601869832E-2</v>
      </c>
      <c r="C13" s="28">
        <f>+C12/G12-1</f>
        <v>2.4416044583577046E-2</v>
      </c>
      <c r="D13" s="28">
        <f>+D12/H12-1</f>
        <v>5.85482584419037E-2</v>
      </c>
      <c r="E13" s="28">
        <f t="shared" ref="E13:F13" si="1">+E12/I12-1</f>
        <v>1.9544562366469176E-2</v>
      </c>
      <c r="F13" s="28">
        <f t="shared" si="1"/>
        <v>4.9295025149578731E-2</v>
      </c>
    </row>
    <row r="14" spans="1:10" s="23" customFormat="1" x14ac:dyDescent="0.2">
      <c r="A14" s="31" t="s">
        <v>33</v>
      </c>
      <c r="B14" s="32" t="s">
        <v>32</v>
      </c>
      <c r="C14" s="32" t="s">
        <v>32</v>
      </c>
      <c r="D14" s="32" t="s">
        <v>32</v>
      </c>
      <c r="E14" s="32" t="s">
        <v>32</v>
      </c>
      <c r="F14" s="32" t="s">
        <v>32</v>
      </c>
      <c r="G14" s="32"/>
      <c r="H14" s="31"/>
      <c r="I14" s="31"/>
      <c r="J14" s="31"/>
    </row>
    <row r="16" spans="1:10" s="22" customFormat="1" x14ac:dyDescent="0.2">
      <c r="A16" s="30" t="s">
        <v>31</v>
      </c>
      <c r="B16" s="29">
        <v>14.983000000000001</v>
      </c>
      <c r="C16" s="29">
        <v>12.835000000000001</v>
      </c>
      <c r="D16" s="29">
        <v>38.753999999999998</v>
      </c>
      <c r="E16" s="29">
        <v>45.595999999999997</v>
      </c>
      <c r="F16" s="29">
        <v>11.337999999999999</v>
      </c>
      <c r="G16" s="29">
        <v>12.976999999999924</v>
      </c>
      <c r="H16" s="29">
        <v>29.7</v>
      </c>
      <c r="I16" s="29">
        <v>35.460999999999999</v>
      </c>
      <c r="J16" s="29">
        <v>7.8620000000000001</v>
      </c>
    </row>
    <row r="17" spans="1:10" s="28" customFormat="1" x14ac:dyDescent="0.2">
      <c r="A17" s="28" t="s">
        <v>30</v>
      </c>
      <c r="B17" s="28">
        <f>+B16/B12</f>
        <v>6.1085290280495759E-2</v>
      </c>
      <c r="C17" s="28">
        <f>+C16/C12</f>
        <v>5.3876505897661929E-2</v>
      </c>
      <c r="D17" s="28">
        <f>+D16/D12</f>
        <v>0.12979001306138854</v>
      </c>
      <c r="E17" s="28">
        <f t="shared" ref="E17:J17" si="2">+E16/E12</f>
        <v>0.15536269809629924</v>
      </c>
      <c r="F17" s="28">
        <f t="shared" si="2"/>
        <v>4.9999999999999996E-2</v>
      </c>
      <c r="G17" s="28">
        <f t="shared" si="2"/>
        <v>5.5802573187931838E-2</v>
      </c>
      <c r="H17" s="28">
        <f t="shared" si="2"/>
        <v>0.10529114597181601</v>
      </c>
      <c r="I17" s="28">
        <f t="shared" si="2"/>
        <v>0.12319049521460457</v>
      </c>
      <c r="J17" s="28">
        <f t="shared" si="2"/>
        <v>3.6380126511404071E-2</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14.983000000000001</v>
      </c>
      <c r="C22" s="20">
        <f>SUM(C16,C19:C21)</f>
        <v>12.835000000000001</v>
      </c>
      <c r="D22" s="20">
        <f>SUM(D16,D19:D21)</f>
        <v>38.753999999999998</v>
      </c>
      <c r="E22" s="20">
        <f t="shared" ref="E22:J22" si="3">SUM(E16,E19:E21)</f>
        <v>45.595999999999997</v>
      </c>
      <c r="F22" s="20">
        <f t="shared" si="3"/>
        <v>11.337999999999999</v>
      </c>
      <c r="G22" s="20">
        <f t="shared" si="3"/>
        <v>12.976999999999924</v>
      </c>
      <c r="H22" s="20">
        <f t="shared" si="3"/>
        <v>29.7</v>
      </c>
      <c r="I22" s="20">
        <f t="shared" si="3"/>
        <v>35.460999999999999</v>
      </c>
      <c r="J22" s="20">
        <f t="shared" si="3"/>
        <v>7.8620000000000001</v>
      </c>
    </row>
    <row r="23" spans="1:10" s="22" customFormat="1" x14ac:dyDescent="0.2">
      <c r="B23" s="20"/>
      <c r="C23" s="20"/>
      <c r="D23" s="20"/>
      <c r="E23" s="20"/>
      <c r="F23" s="20"/>
      <c r="G23" s="20"/>
      <c r="H23" s="20"/>
      <c r="I23" s="20"/>
      <c r="J23" s="20"/>
    </row>
    <row r="24" spans="1:10" s="22" customFormat="1" x14ac:dyDescent="0.2">
      <c r="A24" s="22" t="s">
        <v>27</v>
      </c>
      <c r="B24" s="20">
        <f>SUM(B22:E22)</f>
        <v>112.16800000000001</v>
      </c>
      <c r="C24" s="20">
        <f>SUM(C22:F22)</f>
        <v>108.523</v>
      </c>
      <c r="D24" s="20">
        <f>SUM(D22:G22)</f>
        <v>108.66499999999991</v>
      </c>
      <c r="E24" s="20">
        <f t="shared" ref="E24:G24" si="4">SUM(E22:H22)</f>
        <v>99.610999999999919</v>
      </c>
      <c r="F24" s="20">
        <f t="shared" si="4"/>
        <v>89.475999999999914</v>
      </c>
      <c r="G24" s="20">
        <f t="shared" si="4"/>
        <v>85.999999999999915</v>
      </c>
      <c r="H24" s="20">
        <f>SUM(H22:J22)</f>
        <v>73.022999999999996</v>
      </c>
      <c r="I24" s="20"/>
      <c r="J24" s="20"/>
    </row>
    <row r="25" spans="1:10" s="23" customFormat="1" x14ac:dyDescent="0.2">
      <c r="A25" s="15" t="s">
        <v>26</v>
      </c>
      <c r="B25" s="27">
        <v>0</v>
      </c>
      <c r="C25" s="27">
        <v>0</v>
      </c>
      <c r="D25" s="27">
        <v>0</v>
      </c>
      <c r="E25" s="27">
        <v>0</v>
      </c>
      <c r="F25" s="27">
        <v>0</v>
      </c>
      <c r="G25" s="27">
        <v>0</v>
      </c>
      <c r="H25" s="27">
        <v>0</v>
      </c>
      <c r="I25" s="27">
        <v>0</v>
      </c>
      <c r="J25" s="27">
        <v>0</v>
      </c>
    </row>
    <row r="26" spans="1:10" s="23" customFormat="1" x14ac:dyDescent="0.2">
      <c r="A26" s="15" t="s">
        <v>25</v>
      </c>
      <c r="B26" s="21">
        <v>0</v>
      </c>
      <c r="C26" s="21">
        <v>0</v>
      </c>
      <c r="D26" s="21">
        <v>0</v>
      </c>
      <c r="E26" s="21">
        <v>0</v>
      </c>
      <c r="F26" s="21">
        <v>0</v>
      </c>
      <c r="G26" s="21">
        <v>0</v>
      </c>
      <c r="H26" s="21">
        <v>0</v>
      </c>
      <c r="I26" s="26"/>
      <c r="J26" s="26"/>
    </row>
    <row r="27" spans="1:10" s="24" customFormat="1" x14ac:dyDescent="0.2">
      <c r="A27" s="22" t="s">
        <v>24</v>
      </c>
      <c r="B27" s="20">
        <f>SUM(B24:B26)</f>
        <v>112.16800000000001</v>
      </c>
      <c r="C27" s="20">
        <f>SUM(C24:C26)</f>
        <v>108.523</v>
      </c>
      <c r="D27" s="20">
        <f>SUM(D24:D26)</f>
        <v>108.66499999999991</v>
      </c>
      <c r="E27" s="20">
        <f t="shared" ref="E27:H27" si="5">SUM(E24:E26)</f>
        <v>99.610999999999919</v>
      </c>
      <c r="F27" s="20">
        <f t="shared" si="5"/>
        <v>89.475999999999914</v>
      </c>
      <c r="G27" s="20">
        <f t="shared" si="5"/>
        <v>85.999999999999915</v>
      </c>
      <c r="H27" s="20">
        <f t="shared" si="5"/>
        <v>73.022999999999996</v>
      </c>
      <c r="I27" s="25"/>
      <c r="J27" s="25"/>
    </row>
    <row r="28" spans="1:10" s="23" customFormat="1" x14ac:dyDescent="0.2"/>
    <row r="29" spans="1:10" s="22" customFormat="1" x14ac:dyDescent="0.2">
      <c r="A29" s="22" t="s">
        <v>23</v>
      </c>
      <c r="B29" s="20">
        <f t="shared" ref="B29" si="6">B22</f>
        <v>14.983000000000001</v>
      </c>
      <c r="C29" s="20">
        <f t="shared" ref="C29" si="7">C22</f>
        <v>12.835000000000001</v>
      </c>
      <c r="D29" s="20">
        <f t="shared" ref="D29:J29" si="8">D22</f>
        <v>38.753999999999998</v>
      </c>
      <c r="E29" s="20">
        <f t="shared" si="8"/>
        <v>45.595999999999997</v>
      </c>
      <c r="F29" s="20">
        <f t="shared" si="8"/>
        <v>11.337999999999999</v>
      </c>
      <c r="G29" s="20">
        <f t="shared" si="8"/>
        <v>12.976999999999924</v>
      </c>
      <c r="H29" s="20">
        <f t="shared" si="8"/>
        <v>29.7</v>
      </c>
      <c r="I29" s="20">
        <f t="shared" si="8"/>
        <v>35.460999999999999</v>
      </c>
      <c r="J29" s="20">
        <f t="shared" si="8"/>
        <v>7.8620000000000001</v>
      </c>
    </row>
    <row r="30" spans="1:10" s="11" customFormat="1" x14ac:dyDescent="0.2">
      <c r="A30" s="19" t="s">
        <v>22</v>
      </c>
      <c r="B30" s="19">
        <v>-9.7370000000000001</v>
      </c>
      <c r="C30" s="19">
        <v>-9.2170000000000005</v>
      </c>
      <c r="D30" s="19">
        <v>-7.6859999999999999</v>
      </c>
      <c r="E30" s="19">
        <v>-8.4529999999999994</v>
      </c>
      <c r="F30" s="19">
        <v>-8.4529999999999994</v>
      </c>
      <c r="G30" s="19">
        <v>-9.5820000000000043</v>
      </c>
      <c r="H30" s="19">
        <v>-8.4529999999999994</v>
      </c>
      <c r="I30" s="19">
        <v>-8.4260000000000002</v>
      </c>
      <c r="J30" s="19">
        <v>-8.0190000000000001</v>
      </c>
    </row>
    <row r="31" spans="1:10" s="11" customFormat="1" x14ac:dyDescent="0.2">
      <c r="A31" s="19" t="s">
        <v>21</v>
      </c>
      <c r="B31" s="19">
        <v>0.23599999999999999</v>
      </c>
      <c r="C31" s="19">
        <v>2.75</v>
      </c>
      <c r="D31" s="19">
        <v>-0.28000000000000003</v>
      </c>
      <c r="E31" s="19">
        <v>-2.262</v>
      </c>
      <c r="F31" s="19">
        <v>2.262</v>
      </c>
      <c r="G31" s="19">
        <v>1.9629999999999996</v>
      </c>
      <c r="H31" s="19">
        <v>-1.45</v>
      </c>
      <c r="I31" s="19">
        <v>-2.4409999999999998</v>
      </c>
      <c r="J31" s="19">
        <v>1.35</v>
      </c>
    </row>
    <row r="32" spans="1:10" s="11" customFormat="1" x14ac:dyDescent="0.2">
      <c r="A32" s="19" t="s">
        <v>20</v>
      </c>
      <c r="B32" s="19">
        <f>5.187-1.197-0.339-0.56+6.606+0.905+0.334-0.601-0.072</f>
        <v>10.262999999999998</v>
      </c>
      <c r="C32" s="19">
        <f>1.12+0.644-0.768+2.133-1.29-3.025-0.874-0.099-4.842</f>
        <v>-7.0009999999999994</v>
      </c>
      <c r="D32" s="19">
        <f>0.881+0.425-1.977+0.43-4.324+8.308+0.786-0.697-1.776</f>
        <v>2.056</v>
      </c>
      <c r="E32" s="19">
        <v>29.497999999999998</v>
      </c>
      <c r="F32" s="19">
        <v>-10.180000000000001</v>
      </c>
      <c r="G32" s="19">
        <v>-9.5330000000000013</v>
      </c>
      <c r="H32" s="19">
        <v>-6.1259999999999994</v>
      </c>
      <c r="I32" s="19">
        <v>20.236000000000001</v>
      </c>
      <c r="J32" s="19">
        <v>-4.5380000000000003</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13.71</v>
      </c>
      <c r="C35" s="20">
        <v>-5.2380000000000004</v>
      </c>
      <c r="D35" s="20">
        <v>26.978000000000002</v>
      </c>
      <c r="E35" s="20">
        <v>37.564999999999998</v>
      </c>
      <c r="F35" s="20">
        <v>-9.01</v>
      </c>
      <c r="G35" s="20">
        <v>4.2929999999999993</v>
      </c>
      <c r="H35" s="20">
        <v>16.556000000000001</v>
      </c>
      <c r="I35" s="20">
        <v>26.765999999999998</v>
      </c>
      <c r="J35" s="20">
        <v>-4.6269999999999998</v>
      </c>
    </row>
    <row r="36" spans="1:10" s="11" customFormat="1" x14ac:dyDescent="0.2">
      <c r="A36" s="19" t="s">
        <v>16</v>
      </c>
      <c r="B36" s="21">
        <v>-2.7770000000000001</v>
      </c>
      <c r="C36" s="21">
        <v>-1.343</v>
      </c>
      <c r="D36" s="21">
        <v>-2.5630000000000002</v>
      </c>
      <c r="E36" s="21">
        <v>-2.1060000000000003</v>
      </c>
      <c r="F36" s="21">
        <v>-2.6789999999999998</v>
      </c>
      <c r="G36" s="21">
        <v>-1.9109999999999996</v>
      </c>
      <c r="H36" s="21">
        <v>-2.0880000000000001</v>
      </c>
      <c r="I36" s="21">
        <v>-2.8879999999999999</v>
      </c>
      <c r="J36" s="21">
        <v>-2.87</v>
      </c>
    </row>
    <row r="37" spans="1:10" s="20" customFormat="1" x14ac:dyDescent="0.2">
      <c r="A37" s="20" t="s">
        <v>15</v>
      </c>
      <c r="B37" s="20">
        <f>+B35+B36</f>
        <v>10.933</v>
      </c>
      <c r="C37" s="20">
        <f>+C35+C36</f>
        <v>-6.5810000000000004</v>
      </c>
      <c r="D37" s="20">
        <f>+D35+D36</f>
        <v>24.415000000000003</v>
      </c>
      <c r="E37" s="20">
        <f t="shared" ref="E37:J37" si="9">+E35+E36</f>
        <v>35.458999999999996</v>
      </c>
      <c r="F37" s="20">
        <f t="shared" si="9"/>
        <v>-11.689</v>
      </c>
      <c r="G37" s="20">
        <f t="shared" si="9"/>
        <v>2.3819999999999997</v>
      </c>
      <c r="H37" s="20">
        <f t="shared" si="9"/>
        <v>14.468</v>
      </c>
      <c r="I37" s="20">
        <f t="shared" si="9"/>
        <v>23.878</v>
      </c>
      <c r="J37" s="20">
        <f t="shared" si="9"/>
        <v>-7.4969999999999999</v>
      </c>
    </row>
    <row r="39" spans="1:10" s="16" customFormat="1" x14ac:dyDescent="0.2">
      <c r="A39" s="18" t="s">
        <v>14</v>
      </c>
      <c r="B39" s="19">
        <v>10</v>
      </c>
      <c r="C39" s="19">
        <v>5</v>
      </c>
      <c r="D39" s="19">
        <v>0</v>
      </c>
      <c r="E39" s="19">
        <v>0</v>
      </c>
      <c r="F39" s="19"/>
      <c r="G39" s="19"/>
      <c r="H39" s="19"/>
      <c r="I39" s="19"/>
      <c r="J39" s="19"/>
    </row>
    <row r="40" spans="1:10" s="16" customFormat="1" x14ac:dyDescent="0.2">
      <c r="A40" s="18" t="s">
        <v>13</v>
      </c>
      <c r="B40" s="19">
        <f>468.825+49.092</f>
        <v>517.91700000000003</v>
      </c>
      <c r="C40" s="19">
        <f>470+50.434</f>
        <v>520.43399999999997</v>
      </c>
      <c r="D40" s="19">
        <v>523</v>
      </c>
      <c r="E40" s="19">
        <v>523</v>
      </c>
      <c r="F40" s="19"/>
      <c r="G40" s="19"/>
      <c r="H40" s="19"/>
      <c r="I40" s="19"/>
      <c r="J40" s="19"/>
    </row>
    <row r="41" spans="1:10" s="16" customFormat="1" x14ac:dyDescent="0.2">
      <c r="A41" s="18" t="s">
        <v>12</v>
      </c>
      <c r="B41" s="19">
        <f>+B39+B40+130</f>
        <v>657.91700000000003</v>
      </c>
      <c r="C41" s="19">
        <f>+C39+C40+130</f>
        <v>655.43399999999997</v>
      </c>
      <c r="D41" s="19">
        <f>D39+D40+130</f>
        <v>653</v>
      </c>
      <c r="E41" s="19">
        <f>E39+E40+130</f>
        <v>653</v>
      </c>
      <c r="F41" s="19"/>
      <c r="G41" s="19"/>
      <c r="H41" s="19"/>
      <c r="I41" s="19"/>
      <c r="J41" s="19"/>
    </row>
    <row r="42" spans="1:10" s="16" customFormat="1" x14ac:dyDescent="0.2">
      <c r="A42" s="18" t="s">
        <v>11</v>
      </c>
      <c r="B42" s="17">
        <v>470</v>
      </c>
      <c r="C42" s="17">
        <v>470</v>
      </c>
      <c r="D42" s="17">
        <v>470</v>
      </c>
      <c r="E42" s="17">
        <v>470</v>
      </c>
      <c r="F42" s="17"/>
      <c r="G42" s="17"/>
      <c r="H42" s="17"/>
      <c r="I42" s="17"/>
      <c r="J42" s="17"/>
    </row>
    <row r="43" spans="1:10" x14ac:dyDescent="0.2">
      <c r="B43" s="16"/>
      <c r="C43" s="16"/>
      <c r="D43" s="16"/>
      <c r="E43" s="16"/>
      <c r="F43" s="16"/>
    </row>
    <row r="44" spans="1:10" x14ac:dyDescent="0.2">
      <c r="A44" s="15" t="s">
        <v>10</v>
      </c>
      <c r="B44" s="27">
        <v>22.135999999999999</v>
      </c>
      <c r="C44" s="27">
        <v>14.612</v>
      </c>
      <c r="D44" s="27">
        <v>13</v>
      </c>
      <c r="E44" s="27">
        <v>13</v>
      </c>
      <c r="F44" s="27"/>
      <c r="G44" s="27"/>
      <c r="H44" s="27"/>
      <c r="I44" s="27"/>
      <c r="J44" s="14"/>
    </row>
    <row r="46" spans="1:10" x14ac:dyDescent="0.2">
      <c r="A46" s="1" t="s">
        <v>9</v>
      </c>
      <c r="B46" s="13">
        <f>SUM(B12:E12)</f>
        <v>1075.5809999999999</v>
      </c>
      <c r="C46" s="13">
        <f>SUM(C12:F12)</f>
        <v>1057.0609999999999</v>
      </c>
      <c r="D46" s="12">
        <v>1054</v>
      </c>
      <c r="E46" s="12">
        <v>1054</v>
      </c>
      <c r="F46" s="11"/>
      <c r="G46" s="11"/>
      <c r="H46" s="11"/>
    </row>
    <row r="47" spans="1:10" x14ac:dyDescent="0.2">
      <c r="A47" s="1" t="s">
        <v>8</v>
      </c>
      <c r="B47" s="13">
        <f>B27</f>
        <v>112.16800000000001</v>
      </c>
      <c r="C47" s="13">
        <f>C27</f>
        <v>108.523</v>
      </c>
      <c r="D47" s="12">
        <v>98.1</v>
      </c>
      <c r="E47" s="12">
        <v>98.1</v>
      </c>
      <c r="F47" s="11"/>
      <c r="G47" s="11"/>
      <c r="H47" s="11"/>
    </row>
    <row r="48" spans="1:10" x14ac:dyDescent="0.2">
      <c r="A48" s="1" t="s">
        <v>7</v>
      </c>
      <c r="B48" s="13">
        <f>SUM(B37:E37)</f>
        <v>64.225999999999999</v>
      </c>
      <c r="C48" s="13">
        <f>SUM(C37:F37)</f>
        <v>41.603999999999999</v>
      </c>
      <c r="D48" s="12">
        <v>47.344499999999996</v>
      </c>
      <c r="E48" s="12">
        <v>47.344499999999996</v>
      </c>
      <c r="F48" s="11"/>
      <c r="G48" s="11"/>
      <c r="H48" s="11"/>
    </row>
    <row r="50" spans="1:10" s="10" customFormat="1" x14ac:dyDescent="0.2">
      <c r="A50" s="10" t="s">
        <v>6</v>
      </c>
      <c r="B50" s="10">
        <f>+SUM(B39:B40)/B47</f>
        <v>4.7064849154839168</v>
      </c>
      <c r="C50" s="10">
        <f>+SUM(C39:C40)/C47</f>
        <v>4.8416833298010555</v>
      </c>
      <c r="D50" s="10">
        <f>+SUM(D39:D40)/D47</f>
        <v>5.3312945973496433</v>
      </c>
      <c r="E50" s="10">
        <f>+SUM(E39:E40)/E47</f>
        <v>5.3312945973496433</v>
      </c>
    </row>
    <row r="51" spans="1:10" s="10" customFormat="1" x14ac:dyDescent="0.2">
      <c r="A51" s="10" t="s">
        <v>5</v>
      </c>
      <c r="B51" s="10">
        <f>+B41/B47</f>
        <v>5.8654607374652308</v>
      </c>
      <c r="C51" s="10">
        <f>+C41/C47</f>
        <v>6.0395860785271323</v>
      </c>
      <c r="D51" s="10">
        <f>+D41/D47</f>
        <v>6.6564729867482164</v>
      </c>
      <c r="E51" s="10">
        <f>+E41/E47</f>
        <v>6.6564729867482164</v>
      </c>
    </row>
    <row r="52" spans="1:10" s="10" customFormat="1" x14ac:dyDescent="0.2">
      <c r="A52" s="10" t="s">
        <v>4</v>
      </c>
      <c r="B52" s="10">
        <f>+(B41-B44)/B47</f>
        <v>5.6681139005777048</v>
      </c>
      <c r="C52" s="10">
        <f>+(C41-C44)/C47</f>
        <v>5.9049418095703219</v>
      </c>
      <c r="D52" s="10">
        <f>+(D41-D44)/D47</f>
        <v>6.5239551478083593</v>
      </c>
      <c r="E52" s="10">
        <f>+(E41-E44)/E47</f>
        <v>6.5239551478083593</v>
      </c>
    </row>
    <row r="53" spans="1:10" s="6" customFormat="1" x14ac:dyDescent="0.2">
      <c r="A53" s="6" t="s">
        <v>3</v>
      </c>
      <c r="B53" s="6">
        <f>+B48/B41</f>
        <v>9.7620216531872556E-2</v>
      </c>
      <c r="C53" s="6">
        <f>+C48/C41</f>
        <v>6.3475498677212347E-2</v>
      </c>
      <c r="D53" s="6">
        <f>+D48/D41</f>
        <v>7.2503062787136294E-2</v>
      </c>
      <c r="E53" s="6">
        <f>+E48/E41</f>
        <v>7.2503062787136294E-2</v>
      </c>
    </row>
    <row r="54" spans="1:10" s="6" customFormat="1" x14ac:dyDescent="0.2">
      <c r="A54" s="8" t="s">
        <v>2</v>
      </c>
      <c r="B54" s="9"/>
      <c r="C54" s="9"/>
      <c r="D54" s="9"/>
      <c r="E54" s="9"/>
      <c r="F54" s="9"/>
      <c r="G54" s="9"/>
      <c r="H54" s="9"/>
      <c r="I54" s="8"/>
      <c r="J54" s="8"/>
    </row>
    <row r="55" spans="1:10" s="6" customFormat="1" x14ac:dyDescent="0.2">
      <c r="A55" s="6" t="s">
        <v>1</v>
      </c>
      <c r="B55" s="7">
        <f>IF(B42=0,IF(B54="","","*"&amp;TEXT(B54,"0.0x")),(B41+B42-B44)/B47)</f>
        <v>9.8582572569716849</v>
      </c>
      <c r="C55" s="7">
        <f>IF(C42=0,IF(C54="","","*"&amp;TEXT(C54,"0.0x")),(C41+C42-C44)/C47)</f>
        <v>10.23582097804152</v>
      </c>
      <c r="D55" s="7">
        <f>IF(D42=0,IF(D54="","","*"&amp;TEXT(D54,"0.0x")),(D41+D42-D44)/D47)</f>
        <v>11.314984709480123</v>
      </c>
      <c r="E55" s="7">
        <f>IF(E42=0,IF(E54="","","*"&amp;TEXT(E54,"0.0x")),(E41+E42-E44)/E47)</f>
        <v>11.314984709480123</v>
      </c>
      <c r="F55" s="7"/>
      <c r="G55" s="7"/>
      <c r="H55" s="7"/>
      <c r="I55" s="7"/>
      <c r="J55" s="7" t="str">
        <f t="shared" ref="J55" si="10">IF(J42=0,IF(J54="","",CONCATENATE("* ",J54,"x")),(J41+J42-J44)/J47)</f>
        <v/>
      </c>
    </row>
    <row r="56" spans="1:10" x14ac:dyDescent="0.2">
      <c r="H56" s="3"/>
    </row>
    <row r="57" spans="1:10" ht="80.25" customHeight="1" x14ac:dyDescent="0.2">
      <c r="A57" s="5" t="s">
        <v>0</v>
      </c>
      <c r="B57" s="4" t="s">
        <v>235</v>
      </c>
      <c r="C57" s="4" t="s">
        <v>235</v>
      </c>
      <c r="D57" s="4" t="s">
        <v>595</v>
      </c>
      <c r="E57" s="4" t="s">
        <v>104</v>
      </c>
      <c r="F57" s="4"/>
      <c r="G57" s="4"/>
      <c r="H57" s="4"/>
      <c r="I57" s="4"/>
      <c r="J57" s="4"/>
    </row>
    <row r="58" spans="1:10" x14ac:dyDescent="0.2">
      <c r="A58" s="2"/>
      <c r="B58" s="3"/>
      <c r="C58" s="3"/>
      <c r="D58" s="3"/>
    </row>
    <row r="59" spans="1:10" x14ac:dyDescent="0.2">
      <c r="A59" s="2"/>
    </row>
  </sheetData>
  <pageMargins left="0.7" right="0.7" top="0.75" bottom="0.75" header="0.3" footer="0.3"/>
  <pageSetup orientation="portrait" r:id="rId1"/>
  <ignoredErrors>
    <ignoredError sqref="B46:C4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A7" sqref="A7"/>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167</v>
      </c>
    </row>
    <row r="3" spans="1:11" s="35" customFormat="1" x14ac:dyDescent="0.2">
      <c r="A3" s="36" t="s">
        <v>43</v>
      </c>
      <c r="B3" s="35" t="s">
        <v>166</v>
      </c>
    </row>
    <row r="4" spans="1:11" x14ac:dyDescent="0.2">
      <c r="A4" s="34" t="s">
        <v>41</v>
      </c>
      <c r="B4" s="1" t="s">
        <v>40</v>
      </c>
    </row>
    <row r="5" spans="1:11" x14ac:dyDescent="0.2">
      <c r="A5" s="34" t="s">
        <v>39</v>
      </c>
    </row>
    <row r="6" spans="1:11" x14ac:dyDescent="0.2">
      <c r="A6" s="34" t="s">
        <v>38</v>
      </c>
      <c r="B6" s="1">
        <v>4</v>
      </c>
    </row>
    <row r="7" spans="1:11" x14ac:dyDescent="0.2">
      <c r="A7" s="34" t="s">
        <v>37</v>
      </c>
      <c r="B7" s="1" t="s">
        <v>385</v>
      </c>
    </row>
    <row r="8" spans="1:11" x14ac:dyDescent="0.2">
      <c r="A8" s="34" t="s">
        <v>281</v>
      </c>
      <c r="B8" s="1" t="s">
        <v>320</v>
      </c>
    </row>
    <row r="9" spans="1:11" x14ac:dyDescent="0.2">
      <c r="A9" s="22"/>
    </row>
    <row r="10" spans="1:11" x14ac:dyDescent="0.2">
      <c r="A10" s="22" t="s">
        <v>36</v>
      </c>
      <c r="B10" s="33">
        <v>43312</v>
      </c>
      <c r="C10" s="33">
        <v>43220</v>
      </c>
      <c r="D10" s="33">
        <f t="shared" ref="D10:K10" si="0">EOMONTH(C10,-3)</f>
        <v>43131</v>
      </c>
      <c r="E10" s="33">
        <f t="shared" si="0"/>
        <v>43039</v>
      </c>
      <c r="F10" s="33">
        <f t="shared" si="0"/>
        <v>42947</v>
      </c>
      <c r="G10" s="33">
        <f t="shared" si="0"/>
        <v>42855</v>
      </c>
      <c r="H10" s="33">
        <f t="shared" si="0"/>
        <v>42766</v>
      </c>
      <c r="I10" s="33">
        <f t="shared" si="0"/>
        <v>42674</v>
      </c>
      <c r="J10" s="33">
        <f t="shared" si="0"/>
        <v>42582</v>
      </c>
      <c r="K10" s="33">
        <f t="shared" si="0"/>
        <v>42490</v>
      </c>
    </row>
    <row r="12" spans="1:11" x14ac:dyDescent="0.2">
      <c r="A12" s="15" t="s">
        <v>35</v>
      </c>
      <c r="B12" s="19">
        <f>278+184</f>
        <v>462</v>
      </c>
      <c r="C12" s="19">
        <f>304.662+192</f>
        <v>496.66199999999998</v>
      </c>
      <c r="D12" s="19">
        <f>562.896+561-C12</f>
        <v>627.23399999999992</v>
      </c>
      <c r="E12" s="19"/>
      <c r="F12" s="19">
        <f>283+186</f>
        <v>469</v>
      </c>
      <c r="G12" s="19">
        <f>275.167+180</f>
        <v>455.16699999999997</v>
      </c>
      <c r="H12" s="19">
        <f>546.132+548-G12</f>
        <v>638.96500000000015</v>
      </c>
      <c r="I12" s="19"/>
      <c r="J12" s="19"/>
      <c r="K12" s="19"/>
    </row>
    <row r="13" spans="1:11" s="28" customFormat="1" x14ac:dyDescent="0.2">
      <c r="A13" s="28" t="s">
        <v>34</v>
      </c>
      <c r="B13" s="28">
        <f>+B12/F12-1</f>
        <v>-1.4925373134328401E-2</v>
      </c>
      <c r="C13" s="28">
        <f>+C12/G12-1</f>
        <v>9.1164341878914756E-2</v>
      </c>
      <c r="D13" s="28">
        <f>+D12/H12-1</f>
        <v>-1.8359378056701403E-2</v>
      </c>
    </row>
    <row r="14" spans="1:11" s="23" customFormat="1" x14ac:dyDescent="0.2">
      <c r="A14" s="31" t="s">
        <v>33</v>
      </c>
      <c r="B14" s="32" t="s">
        <v>32</v>
      </c>
      <c r="C14" s="32" t="s">
        <v>32</v>
      </c>
      <c r="D14" s="32" t="s">
        <v>32</v>
      </c>
      <c r="E14" s="32"/>
      <c r="F14" s="32"/>
      <c r="G14" s="32"/>
      <c r="H14" s="31"/>
      <c r="I14" s="31"/>
      <c r="J14" s="31"/>
      <c r="K14" s="31"/>
    </row>
    <row r="16" spans="1:11" s="22" customFormat="1" x14ac:dyDescent="0.2">
      <c r="A16" s="30" t="s">
        <v>31</v>
      </c>
      <c r="B16" s="29">
        <f>18+8</f>
        <v>26</v>
      </c>
      <c r="C16" s="29">
        <f>19+10</f>
        <v>29</v>
      </c>
      <c r="D16" s="29">
        <f>13+15</f>
        <v>28</v>
      </c>
      <c r="E16" s="29">
        <f>14+0</f>
        <v>14</v>
      </c>
      <c r="F16" s="29">
        <v>19</v>
      </c>
      <c r="G16" s="29">
        <f>15+6</f>
        <v>21</v>
      </c>
      <c r="H16" s="29">
        <f>22+24-G16</f>
        <v>25</v>
      </c>
      <c r="I16" s="29"/>
      <c r="J16" s="29"/>
      <c r="K16" s="29"/>
    </row>
    <row r="17" spans="1:11" s="28" customFormat="1" x14ac:dyDescent="0.2">
      <c r="A17" s="28" t="s">
        <v>30</v>
      </c>
      <c r="B17" s="28">
        <f>+B16/B12</f>
        <v>5.627705627705628E-2</v>
      </c>
      <c r="C17" s="28">
        <f>+C16/C12</f>
        <v>5.8389810374057209E-2</v>
      </c>
      <c r="D17" s="28">
        <f>+D16/D12</f>
        <v>4.4640437221196559E-2</v>
      </c>
      <c r="F17" s="28">
        <f>+F16/F12</f>
        <v>4.0511727078891259E-2</v>
      </c>
      <c r="G17" s="28">
        <f>+G16/G12</f>
        <v>4.6136912386003384E-2</v>
      </c>
      <c r="H17" s="28">
        <f>+H16/H12</f>
        <v>3.9125773712175148E-2</v>
      </c>
    </row>
    <row r="18" spans="1:11" s="23" customFormat="1" x14ac:dyDescent="0.2"/>
    <row r="19" spans="1:11" s="23" customFormat="1" x14ac:dyDescent="0.2">
      <c r="A19" s="15" t="s">
        <v>29</v>
      </c>
      <c r="B19" s="19">
        <v>0</v>
      </c>
      <c r="C19" s="19">
        <v>0</v>
      </c>
      <c r="D19" s="19">
        <v>0</v>
      </c>
      <c r="E19" s="19">
        <v>0</v>
      </c>
      <c r="F19" s="19">
        <v>0</v>
      </c>
      <c r="G19" s="19">
        <v>0</v>
      </c>
      <c r="H19" s="19">
        <v>0</v>
      </c>
      <c r="I19" s="19"/>
      <c r="J19" s="19"/>
      <c r="K19" s="19"/>
    </row>
    <row r="20" spans="1:11" s="23" customFormat="1" x14ac:dyDescent="0.2">
      <c r="A20" s="15" t="s">
        <v>28</v>
      </c>
      <c r="B20" s="19">
        <v>0</v>
      </c>
      <c r="C20" s="19">
        <v>0</v>
      </c>
      <c r="D20" s="19">
        <v>0</v>
      </c>
      <c r="E20" s="19">
        <v>0</v>
      </c>
      <c r="F20" s="19">
        <v>0</v>
      </c>
      <c r="G20" s="19">
        <v>0</v>
      </c>
      <c r="H20" s="19">
        <v>0</v>
      </c>
      <c r="I20" s="19"/>
      <c r="J20" s="19"/>
      <c r="K20" s="19"/>
    </row>
    <row r="21" spans="1:11" s="23" customFormat="1" x14ac:dyDescent="0.2">
      <c r="A21" s="15" t="s">
        <v>18</v>
      </c>
      <c r="B21" s="19">
        <v>0</v>
      </c>
      <c r="C21" s="19">
        <v>0</v>
      </c>
      <c r="D21" s="19">
        <v>0</v>
      </c>
      <c r="E21" s="19">
        <v>0</v>
      </c>
      <c r="F21" s="19">
        <v>0</v>
      </c>
      <c r="G21" s="19">
        <v>0</v>
      </c>
      <c r="H21" s="19">
        <v>0</v>
      </c>
      <c r="I21" s="19"/>
      <c r="J21" s="19"/>
      <c r="K21" s="19"/>
    </row>
    <row r="22" spans="1:11" s="22" customFormat="1" x14ac:dyDescent="0.2">
      <c r="A22" s="22" t="s">
        <v>23</v>
      </c>
      <c r="B22" s="20">
        <f t="shared" ref="B22:H22" si="1">SUM(B16,B19:B21)</f>
        <v>26</v>
      </c>
      <c r="C22" s="20">
        <f t="shared" si="1"/>
        <v>29</v>
      </c>
      <c r="D22" s="20">
        <f t="shared" si="1"/>
        <v>28</v>
      </c>
      <c r="E22" s="20">
        <f t="shared" si="1"/>
        <v>14</v>
      </c>
      <c r="F22" s="20">
        <f t="shared" si="1"/>
        <v>19</v>
      </c>
      <c r="G22" s="20">
        <f t="shared" si="1"/>
        <v>21</v>
      </c>
      <c r="H22" s="20">
        <f t="shared" si="1"/>
        <v>25</v>
      </c>
      <c r="I22" s="20"/>
      <c r="J22" s="20"/>
      <c r="K22" s="20"/>
    </row>
    <row r="23" spans="1:11" s="22" customFormat="1" x14ac:dyDescent="0.2">
      <c r="B23" s="20"/>
      <c r="C23" s="20"/>
      <c r="D23" s="20"/>
      <c r="E23" s="20"/>
      <c r="F23" s="20"/>
      <c r="G23" s="20"/>
      <c r="H23" s="20"/>
      <c r="I23" s="20"/>
      <c r="J23" s="20"/>
      <c r="K23" s="20"/>
    </row>
    <row r="24" spans="1:11" s="22" customFormat="1" x14ac:dyDescent="0.2">
      <c r="A24" s="22" t="s">
        <v>27</v>
      </c>
      <c r="B24" s="20">
        <f>SUM(B22:E22)</f>
        <v>97</v>
      </c>
      <c r="C24" s="20"/>
      <c r="D24" s="20"/>
      <c r="E24" s="20"/>
      <c r="F24" s="20"/>
      <c r="G24" s="20"/>
      <c r="H24" s="20"/>
      <c r="I24" s="20"/>
      <c r="J24" s="20"/>
      <c r="K24" s="20"/>
    </row>
    <row r="25" spans="1:11" s="23" customFormat="1" x14ac:dyDescent="0.2">
      <c r="A25" s="15" t="s">
        <v>26</v>
      </c>
      <c r="B25" s="27">
        <f>80+14</f>
        <v>94</v>
      </c>
      <c r="C25" s="27"/>
      <c r="D25" s="27"/>
      <c r="E25" s="27"/>
      <c r="F25" s="27"/>
      <c r="G25" s="27"/>
      <c r="H25" s="27"/>
      <c r="I25" s="27"/>
      <c r="J25" s="27"/>
      <c r="K25" s="27"/>
    </row>
    <row r="26" spans="1:11" s="23" customFormat="1" x14ac:dyDescent="0.2">
      <c r="A26" s="15" t="s">
        <v>25</v>
      </c>
      <c r="B26" s="21">
        <v>0</v>
      </c>
      <c r="C26" s="21"/>
      <c r="D26" s="21"/>
      <c r="E26" s="21"/>
      <c r="F26" s="21"/>
      <c r="G26" s="21"/>
      <c r="H26" s="21"/>
      <c r="I26" s="26"/>
      <c r="J26" s="26"/>
      <c r="K26" s="26"/>
    </row>
    <row r="27" spans="1:11" s="24" customFormat="1" x14ac:dyDescent="0.2">
      <c r="A27" s="22" t="s">
        <v>24</v>
      </c>
      <c r="B27" s="20">
        <f>B24+B25+B26</f>
        <v>191</v>
      </c>
      <c r="C27" s="20"/>
      <c r="D27" s="20"/>
      <c r="E27" s="20"/>
      <c r="F27" s="20"/>
      <c r="G27" s="20"/>
      <c r="H27" s="20"/>
      <c r="I27" s="25"/>
      <c r="J27" s="25"/>
      <c r="K27" s="25"/>
    </row>
    <row r="28" spans="1:11" s="23" customFormat="1" x14ac:dyDescent="0.2"/>
    <row r="29" spans="1:11" s="22" customFormat="1" x14ac:dyDescent="0.2">
      <c r="A29" s="22" t="s">
        <v>23</v>
      </c>
      <c r="B29" s="20"/>
      <c r="C29" s="20"/>
      <c r="D29" s="20"/>
      <c r="E29" s="20"/>
      <c r="F29" s="20"/>
      <c r="G29" s="20"/>
      <c r="H29" s="20"/>
      <c r="I29" s="20"/>
      <c r="J29" s="20"/>
      <c r="K29" s="20"/>
    </row>
    <row r="30" spans="1:11" s="11" customFormat="1" x14ac:dyDescent="0.2">
      <c r="A30" s="19" t="s">
        <v>22</v>
      </c>
      <c r="B30" s="19"/>
      <c r="C30" s="19"/>
      <c r="D30" s="19"/>
      <c r="E30" s="19"/>
      <c r="F30" s="19"/>
      <c r="G30" s="19"/>
      <c r="H30" s="19"/>
      <c r="I30" s="19"/>
      <c r="J30" s="19"/>
      <c r="K30" s="19"/>
    </row>
    <row r="31" spans="1:11" s="11" customFormat="1" x14ac:dyDescent="0.2">
      <c r="A31" s="19" t="s">
        <v>21</v>
      </c>
      <c r="B31" s="19"/>
      <c r="C31" s="19"/>
      <c r="D31" s="19"/>
      <c r="E31" s="19"/>
      <c r="F31" s="19"/>
      <c r="G31" s="19"/>
      <c r="H31" s="19"/>
      <c r="I31" s="19"/>
      <c r="J31" s="19"/>
      <c r="K31" s="19"/>
    </row>
    <row r="32" spans="1:11" s="11" customFormat="1" x14ac:dyDescent="0.2">
      <c r="A32" s="19" t="s">
        <v>20</v>
      </c>
      <c r="B32" s="19"/>
      <c r="C32" s="19"/>
      <c r="D32" s="19"/>
      <c r="E32" s="19"/>
      <c r="F32" s="19"/>
      <c r="G32" s="19"/>
      <c r="H32" s="19"/>
      <c r="I32" s="19"/>
      <c r="J32" s="19"/>
      <c r="K32" s="19"/>
    </row>
    <row r="33" spans="1:11" s="11" customFormat="1" x14ac:dyDescent="0.2">
      <c r="A33" s="19" t="s">
        <v>19</v>
      </c>
      <c r="B33" s="19"/>
      <c r="C33" s="19"/>
      <c r="D33" s="19"/>
      <c r="E33" s="19"/>
      <c r="F33" s="19"/>
      <c r="G33" s="19"/>
      <c r="H33" s="19"/>
      <c r="I33" s="19"/>
      <c r="J33" s="19"/>
      <c r="K33" s="19"/>
    </row>
    <row r="34" spans="1:11" s="11" customFormat="1" x14ac:dyDescent="0.2">
      <c r="A34" s="19" t="s">
        <v>18</v>
      </c>
      <c r="B34" s="21"/>
      <c r="C34" s="21"/>
      <c r="D34" s="21"/>
      <c r="E34" s="21"/>
      <c r="F34" s="21"/>
      <c r="G34" s="21"/>
      <c r="H34" s="21"/>
      <c r="I34" s="21"/>
      <c r="J34" s="21"/>
      <c r="K34" s="21"/>
    </row>
    <row r="35" spans="1:11" s="20" customFormat="1" x14ac:dyDescent="0.2">
      <c r="A35" s="20" t="s">
        <v>17</v>
      </c>
    </row>
    <row r="36" spans="1:11" s="11" customFormat="1" x14ac:dyDescent="0.2">
      <c r="A36" s="19" t="s">
        <v>16</v>
      </c>
      <c r="B36" s="21"/>
      <c r="C36" s="21"/>
      <c r="D36" s="21"/>
      <c r="E36" s="21"/>
      <c r="F36" s="21"/>
      <c r="G36" s="21"/>
      <c r="H36" s="21"/>
      <c r="I36" s="21"/>
      <c r="J36" s="21"/>
      <c r="K36" s="21"/>
    </row>
    <row r="37" spans="1:11" s="20" customFormat="1" x14ac:dyDescent="0.2">
      <c r="A37" s="20" t="s">
        <v>15</v>
      </c>
    </row>
    <row r="39" spans="1:11" s="16" customFormat="1" x14ac:dyDescent="0.2">
      <c r="A39" s="18" t="s">
        <v>14</v>
      </c>
      <c r="B39" s="19">
        <v>70</v>
      </c>
      <c r="C39" s="19">
        <v>14</v>
      </c>
      <c r="D39" s="19">
        <v>50</v>
      </c>
      <c r="E39" s="19"/>
      <c r="F39" s="19"/>
      <c r="G39" s="19"/>
      <c r="H39" s="19"/>
      <c r="I39" s="19"/>
      <c r="J39" s="19"/>
      <c r="K39" s="19"/>
    </row>
    <row r="40" spans="1:11" s="16" customFormat="1" x14ac:dyDescent="0.2">
      <c r="A40" s="18" t="s">
        <v>13</v>
      </c>
      <c r="B40" s="19">
        <f>14+19+449+1</f>
        <v>483</v>
      </c>
      <c r="C40" s="19">
        <f>56+28+450+2</f>
        <v>536</v>
      </c>
      <c r="D40" s="19">
        <f>502-D39</f>
        <v>452</v>
      </c>
      <c r="E40" s="19"/>
      <c r="F40" s="19"/>
      <c r="G40" s="19"/>
      <c r="H40" s="19"/>
      <c r="I40" s="19"/>
      <c r="J40" s="19"/>
      <c r="K40" s="19"/>
    </row>
    <row r="41" spans="1:11" s="16" customFormat="1" x14ac:dyDescent="0.2">
      <c r="A41" s="18" t="s">
        <v>12</v>
      </c>
      <c r="B41" s="19">
        <f>B39+B40</f>
        <v>553</v>
      </c>
      <c r="C41" s="19">
        <f>C39+C40</f>
        <v>550</v>
      </c>
      <c r="D41" s="19">
        <f>D39+D40</f>
        <v>502</v>
      </c>
      <c r="E41" s="19"/>
      <c r="F41" s="19"/>
      <c r="G41" s="19"/>
      <c r="H41" s="19"/>
      <c r="I41" s="19"/>
      <c r="J41" s="19"/>
      <c r="K41" s="19"/>
    </row>
    <row r="42" spans="1:11" s="16" customFormat="1" x14ac:dyDescent="0.2">
      <c r="A42" s="18" t="s">
        <v>11</v>
      </c>
      <c r="B42" s="17">
        <v>640</v>
      </c>
      <c r="C42" s="17">
        <v>640</v>
      </c>
      <c r="D42" s="17">
        <v>640</v>
      </c>
      <c r="E42" s="17"/>
      <c r="F42" s="17"/>
      <c r="G42" s="17"/>
      <c r="H42" s="17"/>
      <c r="I42" s="17"/>
      <c r="J42" s="17"/>
      <c r="K42" s="17"/>
    </row>
    <row r="43" spans="1:11" x14ac:dyDescent="0.2">
      <c r="B43" s="16"/>
      <c r="C43" s="16"/>
      <c r="D43" s="16"/>
      <c r="E43" s="16"/>
      <c r="F43" s="16"/>
    </row>
    <row r="44" spans="1:11" x14ac:dyDescent="0.2">
      <c r="A44" s="15" t="s">
        <v>10</v>
      </c>
      <c r="B44" s="27">
        <v>100</v>
      </c>
      <c r="C44" s="27">
        <v>77</v>
      </c>
      <c r="D44" s="27">
        <v>70</v>
      </c>
      <c r="E44" s="27"/>
      <c r="F44" s="27"/>
      <c r="G44" s="27"/>
      <c r="H44" s="27"/>
      <c r="I44" s="14"/>
      <c r="J44" s="14"/>
      <c r="K44" s="14"/>
    </row>
    <row r="46" spans="1:11" x14ac:dyDescent="0.2">
      <c r="A46" s="1" t="s">
        <v>9</v>
      </c>
      <c r="B46" s="13">
        <f>1143+752</f>
        <v>1895</v>
      </c>
      <c r="C46" s="13">
        <f>D46</f>
        <v>1871</v>
      </c>
      <c r="D46" s="12">
        <f>1122+749</f>
        <v>1871</v>
      </c>
      <c r="E46" s="11"/>
      <c r="F46" s="11"/>
      <c r="G46" s="11"/>
      <c r="H46" s="11"/>
    </row>
    <row r="47" spans="1:11" x14ac:dyDescent="0.2">
      <c r="A47" s="1" t="s">
        <v>8</v>
      </c>
      <c r="B47" s="12">
        <f>B27</f>
        <v>191</v>
      </c>
      <c r="C47" s="12">
        <v>183</v>
      </c>
      <c r="D47" s="12">
        <v>186</v>
      </c>
      <c r="E47" s="11"/>
      <c r="F47" s="11"/>
      <c r="G47" s="11"/>
      <c r="H47" s="11"/>
    </row>
    <row r="48" spans="1:11" x14ac:dyDescent="0.2">
      <c r="A48" s="1" t="s">
        <v>7</v>
      </c>
      <c r="B48" s="13">
        <f>C48</f>
        <v>88.25</v>
      </c>
      <c r="C48" s="13">
        <f>D48</f>
        <v>88.25</v>
      </c>
      <c r="D48" s="12">
        <v>88.25</v>
      </c>
      <c r="E48" s="11"/>
      <c r="F48" s="11"/>
      <c r="G48" s="11"/>
      <c r="H48" s="11"/>
    </row>
    <row r="50" spans="1:11" s="10" customFormat="1" x14ac:dyDescent="0.2">
      <c r="A50" s="10" t="s">
        <v>6</v>
      </c>
      <c r="B50" s="10">
        <f>+SUM(B39:B40)/B47</f>
        <v>2.8952879581151834</v>
      </c>
      <c r="C50" s="10">
        <f>+SUM(C39:C40)/C47</f>
        <v>3.0054644808743167</v>
      </c>
      <c r="D50" s="10">
        <f>+SUM(D39:D40)/D47</f>
        <v>2.6989247311827955</v>
      </c>
    </row>
    <row r="51" spans="1:11" s="10" customFormat="1" x14ac:dyDescent="0.2">
      <c r="A51" s="10" t="s">
        <v>5</v>
      </c>
      <c r="B51" s="10">
        <f>+B41/B47</f>
        <v>2.8952879581151834</v>
      </c>
      <c r="C51" s="10">
        <f>+C41/C47</f>
        <v>3.0054644808743167</v>
      </c>
      <c r="D51" s="10">
        <f>+D41/D47</f>
        <v>2.6989247311827955</v>
      </c>
    </row>
    <row r="52" spans="1:11" s="10" customFormat="1" x14ac:dyDescent="0.2">
      <c r="A52" s="10" t="s">
        <v>4</v>
      </c>
      <c r="B52" s="10">
        <f>+(B41-B44)/B47</f>
        <v>2.3717277486910993</v>
      </c>
      <c r="C52" s="10">
        <f>+(C41-C44)/C47</f>
        <v>2.5846994535519126</v>
      </c>
      <c r="D52" s="10">
        <f>+(D41-D44)/D47</f>
        <v>2.3225806451612905</v>
      </c>
    </row>
    <row r="53" spans="1:11" s="6" customFormat="1" x14ac:dyDescent="0.2">
      <c r="A53" s="6" t="s">
        <v>3</v>
      </c>
      <c r="B53" s="6">
        <f>+B48/B41</f>
        <v>0.15958408679927669</v>
      </c>
      <c r="C53" s="6">
        <f>+C48/C41</f>
        <v>0.16045454545454546</v>
      </c>
      <c r="D53" s="6">
        <f>+D48/D41</f>
        <v>0.17579681274900399</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5.7225130890052354</v>
      </c>
      <c r="C55" s="7">
        <f>IF(C42=0,IF(C54="","","*"&amp;TEXT(C54,"0.0x")),(C41+C42-C44)/C47)</f>
        <v>6.081967213114754</v>
      </c>
      <c r="D55" s="7">
        <f>IF(D42=0,IF(D54="","","*"&amp;TEXT(D54,"0.0x")),(D41+D42-D44)/D47)</f>
        <v>5.763440860215054</v>
      </c>
      <c r="E55" s="7"/>
      <c r="F55" s="7"/>
      <c r="G55" s="7"/>
      <c r="H55" s="7"/>
      <c r="I55" s="7" t="str">
        <f>IF(I42=0,IF(I54="","",CONCATENATE("* ",I54,"x")),(I41+I42-I44)/I47)</f>
        <v/>
      </c>
      <c r="J55" s="7" t="str">
        <f>IF(J42=0,IF(J54="","",CONCATENATE("* ",J54,"x")),(J41+J42-J44)/J47)</f>
        <v/>
      </c>
      <c r="K55" s="7" t="str">
        <f>IF(K42=0,IF(K54="","",CONCATENATE("* ",K54,"x")),(K41+K42-K44)/K47)</f>
        <v/>
      </c>
    </row>
    <row r="56" spans="1:11" x14ac:dyDescent="0.2">
      <c r="H56" s="3"/>
    </row>
    <row r="57" spans="1:11" ht="80.25" customHeight="1" x14ac:dyDescent="0.2">
      <c r="A57" s="5" t="s">
        <v>0</v>
      </c>
      <c r="B57" s="4" t="s">
        <v>165</v>
      </c>
      <c r="C57" s="4" t="s">
        <v>165</v>
      </c>
      <c r="D57" s="4" t="s">
        <v>164</v>
      </c>
      <c r="E57" s="4"/>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8CE4E-C59B-4169-8D44-D40A90675D1C}">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541</v>
      </c>
    </row>
    <row r="3" spans="1:10" s="35" customFormat="1" x14ac:dyDescent="0.2">
      <c r="A3" s="36" t="s">
        <v>43</v>
      </c>
      <c r="B3" s="35" t="s">
        <v>542</v>
      </c>
    </row>
    <row r="4" spans="1:10" x14ac:dyDescent="0.2">
      <c r="A4" s="34" t="s">
        <v>41</v>
      </c>
      <c r="B4" s="1" t="s">
        <v>40</v>
      </c>
    </row>
    <row r="5" spans="1:10" x14ac:dyDescent="0.2">
      <c r="A5" s="34" t="s">
        <v>39</v>
      </c>
    </row>
    <row r="6" spans="1:10" x14ac:dyDescent="0.2">
      <c r="A6" s="34" t="s">
        <v>38</v>
      </c>
      <c r="B6" s="1">
        <v>3</v>
      </c>
    </row>
    <row r="7" spans="1:10" x14ac:dyDescent="0.2">
      <c r="A7" s="34" t="s">
        <v>37</v>
      </c>
      <c r="B7" s="1" t="s">
        <v>422</v>
      </c>
    </row>
    <row r="8" spans="1:10" x14ac:dyDescent="0.2">
      <c r="A8" s="34" t="s">
        <v>281</v>
      </c>
      <c r="B8" s="1" t="s">
        <v>543</v>
      </c>
    </row>
    <row r="9" spans="1:10" x14ac:dyDescent="0.2">
      <c r="A9" s="22"/>
    </row>
    <row r="10" spans="1:10" x14ac:dyDescent="0.2">
      <c r="A10" s="22" t="s">
        <v>36</v>
      </c>
      <c r="B10" s="33">
        <v>44196</v>
      </c>
      <c r="C10" s="33">
        <v>44104</v>
      </c>
      <c r="D10" s="33">
        <f>EOMONTH(C10,-3)</f>
        <v>44012</v>
      </c>
      <c r="E10" s="33">
        <f t="shared" ref="E10:J10" si="0">EOMONTH(D10,-3)</f>
        <v>43921</v>
      </c>
      <c r="F10" s="33">
        <f t="shared" si="0"/>
        <v>43830</v>
      </c>
      <c r="G10" s="33">
        <f t="shared" si="0"/>
        <v>43738</v>
      </c>
      <c r="H10" s="33">
        <f t="shared" si="0"/>
        <v>43646</v>
      </c>
      <c r="I10" s="33">
        <f t="shared" si="0"/>
        <v>43555</v>
      </c>
      <c r="J10" s="33">
        <f t="shared" si="0"/>
        <v>43465</v>
      </c>
    </row>
    <row r="12" spans="1:10" x14ac:dyDescent="0.2">
      <c r="A12" s="15" t="s">
        <v>35</v>
      </c>
      <c r="B12" s="19">
        <v>0</v>
      </c>
      <c r="C12" s="19">
        <v>0</v>
      </c>
      <c r="D12" s="19">
        <v>0</v>
      </c>
      <c r="E12" s="19">
        <v>0</v>
      </c>
      <c r="F12" s="19">
        <v>0</v>
      </c>
      <c r="G12" s="19">
        <v>0</v>
      </c>
      <c r="H12" s="19">
        <v>0</v>
      </c>
      <c r="I12" s="19">
        <v>0</v>
      </c>
      <c r="J12" s="19">
        <v>0</v>
      </c>
    </row>
    <row r="13" spans="1:10" s="28" customFormat="1" x14ac:dyDescent="0.2">
      <c r="A13" s="28" t="s">
        <v>34</v>
      </c>
      <c r="B13" s="28" t="e">
        <f>+B12/F12-1</f>
        <v>#DIV/0!</v>
      </c>
      <c r="C13" s="28" t="e">
        <f>+C12/G12-1</f>
        <v>#DIV/0!</v>
      </c>
      <c r="D13" s="28" t="e">
        <f t="shared" ref="D13:F13" si="1">+D12/H12-1</f>
        <v>#DIV/0!</v>
      </c>
      <c r="E13" s="28" t="e">
        <f t="shared" si="1"/>
        <v>#DIV/0!</v>
      </c>
      <c r="F13" s="28" t="e">
        <f t="shared" si="1"/>
        <v>#DIV/0!</v>
      </c>
    </row>
    <row r="14" spans="1:10" s="23" customFormat="1" x14ac:dyDescent="0.2">
      <c r="A14" s="31" t="s">
        <v>33</v>
      </c>
      <c r="B14" s="32" t="s">
        <v>32</v>
      </c>
      <c r="C14" s="32" t="s">
        <v>32</v>
      </c>
      <c r="D14" s="32" t="s">
        <v>32</v>
      </c>
      <c r="E14" s="32" t="s">
        <v>32</v>
      </c>
      <c r="F14" s="32" t="s">
        <v>32</v>
      </c>
      <c r="G14" s="31"/>
      <c r="H14" s="31"/>
      <c r="I14" s="31"/>
      <c r="J14" s="31"/>
    </row>
    <row r="16" spans="1:10" s="22" customFormat="1" x14ac:dyDescent="0.2">
      <c r="A16" s="30" t="s">
        <v>31</v>
      </c>
      <c r="B16" s="29">
        <v>0</v>
      </c>
      <c r="C16" s="29">
        <v>0</v>
      </c>
      <c r="D16" s="29">
        <v>0</v>
      </c>
      <c r="E16" s="29">
        <v>0</v>
      </c>
      <c r="F16" s="29">
        <v>0</v>
      </c>
      <c r="G16" s="29">
        <v>0</v>
      </c>
      <c r="H16" s="29">
        <v>0</v>
      </c>
      <c r="I16" s="29">
        <v>0</v>
      </c>
      <c r="J16" s="29">
        <v>0</v>
      </c>
    </row>
    <row r="17" spans="1:10" s="28" customFormat="1" x14ac:dyDescent="0.2">
      <c r="A17" s="28" t="s">
        <v>30</v>
      </c>
      <c r="B17" s="28" t="e">
        <f>+B16/B12</f>
        <v>#DIV/0!</v>
      </c>
      <c r="C17" s="28" t="e">
        <f>+C16/C12</f>
        <v>#DIV/0!</v>
      </c>
      <c r="D17" s="28" t="e">
        <f t="shared" ref="D17:J17" si="2">+D16/D12</f>
        <v>#DIV/0!</v>
      </c>
      <c r="E17" s="28" t="e">
        <f t="shared" si="2"/>
        <v>#DIV/0!</v>
      </c>
      <c r="F17" s="28" t="e">
        <f t="shared" si="2"/>
        <v>#DIV/0!</v>
      </c>
      <c r="G17" s="28" t="e">
        <f t="shared" si="2"/>
        <v>#DIV/0!</v>
      </c>
      <c r="H17" s="28" t="e">
        <f t="shared" si="2"/>
        <v>#DIV/0!</v>
      </c>
      <c r="I17" s="28" t="e">
        <f t="shared" si="2"/>
        <v>#DIV/0!</v>
      </c>
      <c r="J17" s="28" t="e">
        <f t="shared" si="2"/>
        <v>#DIV/0!</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0</v>
      </c>
      <c r="C22" s="20">
        <f>SUM(C16,C19:C21)</f>
        <v>0</v>
      </c>
      <c r="D22" s="20">
        <f t="shared" ref="D22:J22" si="3">SUM(D16,D19:D21)</f>
        <v>0</v>
      </c>
      <c r="E22" s="20">
        <f t="shared" si="3"/>
        <v>0</v>
      </c>
      <c r="F22" s="20">
        <f t="shared" si="3"/>
        <v>0</v>
      </c>
      <c r="G22" s="20">
        <f t="shared" si="3"/>
        <v>0</v>
      </c>
      <c r="H22" s="20">
        <f t="shared" si="3"/>
        <v>0</v>
      </c>
      <c r="I22" s="20">
        <f t="shared" si="3"/>
        <v>0</v>
      </c>
      <c r="J22" s="20">
        <f t="shared" si="3"/>
        <v>0</v>
      </c>
    </row>
    <row r="23" spans="1:10" s="22" customFormat="1" x14ac:dyDescent="0.2">
      <c r="B23" s="20"/>
      <c r="C23" s="20"/>
      <c r="D23" s="20"/>
      <c r="E23" s="20"/>
      <c r="F23" s="20"/>
      <c r="G23" s="20"/>
      <c r="H23" s="20"/>
      <c r="I23" s="20"/>
      <c r="J23" s="20"/>
    </row>
    <row r="24" spans="1:10" s="22" customFormat="1" x14ac:dyDescent="0.2">
      <c r="A24" s="22" t="s">
        <v>27</v>
      </c>
      <c r="B24" s="20">
        <f>SUM(B22:E22)</f>
        <v>0</v>
      </c>
      <c r="C24" s="20">
        <f>SUM(C22:F22)</f>
        <v>0</v>
      </c>
      <c r="D24" s="20">
        <f t="shared" ref="D24:G24" si="4">SUM(D22:G22)</f>
        <v>0</v>
      </c>
      <c r="E24" s="20">
        <f t="shared" si="4"/>
        <v>0</v>
      </c>
      <c r="F24" s="20">
        <f t="shared" si="4"/>
        <v>0</v>
      </c>
      <c r="G24" s="20">
        <f t="shared" si="4"/>
        <v>0</v>
      </c>
      <c r="H24" s="20"/>
      <c r="I24" s="20"/>
      <c r="J24" s="20"/>
    </row>
    <row r="25" spans="1:10" s="23" customFormat="1" x14ac:dyDescent="0.2">
      <c r="A25" s="15" t="s">
        <v>26</v>
      </c>
      <c r="B25" s="27">
        <v>0</v>
      </c>
      <c r="C25" s="27">
        <v>0</v>
      </c>
      <c r="D25" s="27">
        <v>0</v>
      </c>
      <c r="E25" s="27">
        <v>0</v>
      </c>
      <c r="F25" s="27">
        <v>0</v>
      </c>
      <c r="G25" s="27">
        <v>0</v>
      </c>
      <c r="H25" s="27">
        <v>0</v>
      </c>
      <c r="I25" s="27">
        <v>0</v>
      </c>
      <c r="J25" s="27">
        <v>0</v>
      </c>
    </row>
    <row r="26" spans="1:10" s="23" customFormat="1" x14ac:dyDescent="0.2">
      <c r="A26" s="15" t="s">
        <v>25</v>
      </c>
      <c r="B26" s="21">
        <v>0</v>
      </c>
      <c r="C26" s="21">
        <v>0</v>
      </c>
      <c r="D26" s="21">
        <v>0</v>
      </c>
      <c r="E26" s="21">
        <v>0</v>
      </c>
      <c r="F26" s="21">
        <v>0</v>
      </c>
      <c r="G26" s="21">
        <v>0</v>
      </c>
      <c r="H26" s="26"/>
      <c r="I26" s="26"/>
      <c r="J26" s="26"/>
    </row>
    <row r="27" spans="1:10" s="24" customFormat="1" x14ac:dyDescent="0.2">
      <c r="A27" s="22" t="s">
        <v>24</v>
      </c>
      <c r="B27" s="20">
        <f>SUM(B24:B26)</f>
        <v>0</v>
      </c>
      <c r="C27" s="20">
        <f>SUM(C24:C26)</f>
        <v>0</v>
      </c>
      <c r="D27" s="20">
        <f t="shared" ref="D27:G27" si="5">SUM(D24:D26)</f>
        <v>0</v>
      </c>
      <c r="E27" s="20">
        <f t="shared" si="5"/>
        <v>0</v>
      </c>
      <c r="F27" s="20">
        <f t="shared" si="5"/>
        <v>0</v>
      </c>
      <c r="G27" s="20">
        <f t="shared" si="5"/>
        <v>0</v>
      </c>
      <c r="H27" s="25"/>
      <c r="I27" s="25"/>
      <c r="J27" s="25"/>
    </row>
    <row r="28" spans="1:10" s="23" customFormat="1" x14ac:dyDescent="0.2"/>
    <row r="29" spans="1:10" s="22" customFormat="1" x14ac:dyDescent="0.2">
      <c r="A29" s="22" t="s">
        <v>23</v>
      </c>
      <c r="B29" s="20">
        <f t="shared" ref="B29" si="6">B22</f>
        <v>0</v>
      </c>
      <c r="C29" s="20">
        <f t="shared" ref="C29:J29" si="7">C22</f>
        <v>0</v>
      </c>
      <c r="D29" s="20">
        <f t="shared" si="7"/>
        <v>0</v>
      </c>
      <c r="E29" s="20">
        <f t="shared" si="7"/>
        <v>0</v>
      </c>
      <c r="F29" s="20">
        <f t="shared" si="7"/>
        <v>0</v>
      </c>
      <c r="G29" s="20">
        <f t="shared" si="7"/>
        <v>0</v>
      </c>
      <c r="H29" s="20">
        <f t="shared" si="7"/>
        <v>0</v>
      </c>
      <c r="I29" s="20">
        <f t="shared" si="7"/>
        <v>0</v>
      </c>
      <c r="J29" s="20">
        <f t="shared" si="7"/>
        <v>0</v>
      </c>
    </row>
    <row r="30" spans="1:10" s="11" customFormat="1" x14ac:dyDescent="0.2">
      <c r="A30" s="19" t="s">
        <v>22</v>
      </c>
      <c r="B30" s="19">
        <v>0</v>
      </c>
      <c r="C30" s="19">
        <v>0</v>
      </c>
      <c r="D30" s="19">
        <v>0</v>
      </c>
      <c r="E30" s="19">
        <v>0</v>
      </c>
      <c r="F30" s="19">
        <v>0</v>
      </c>
      <c r="G30" s="19">
        <v>0</v>
      </c>
      <c r="H30" s="19">
        <v>0</v>
      </c>
      <c r="I30" s="19">
        <v>0</v>
      </c>
      <c r="J30" s="19">
        <v>0</v>
      </c>
    </row>
    <row r="31" spans="1:10" s="11" customFormat="1" x14ac:dyDescent="0.2">
      <c r="A31" s="19" t="s">
        <v>21</v>
      </c>
      <c r="B31" s="19">
        <v>0</v>
      </c>
      <c r="C31" s="19">
        <v>0</v>
      </c>
      <c r="D31" s="19">
        <v>0</v>
      </c>
      <c r="E31" s="19">
        <v>0</v>
      </c>
      <c r="F31" s="19">
        <v>0</v>
      </c>
      <c r="G31" s="19">
        <v>0</v>
      </c>
      <c r="H31" s="19">
        <v>0</v>
      </c>
      <c r="I31" s="19">
        <v>0</v>
      </c>
      <c r="J31" s="19">
        <v>0</v>
      </c>
    </row>
    <row r="32" spans="1:10" s="11" customFormat="1" x14ac:dyDescent="0.2">
      <c r="A32" s="19" t="s">
        <v>20</v>
      </c>
      <c r="B32" s="19">
        <v>0</v>
      </c>
      <c r="C32" s="19">
        <v>0</v>
      </c>
      <c r="D32" s="19">
        <v>0</v>
      </c>
      <c r="E32" s="19">
        <v>0</v>
      </c>
      <c r="F32" s="19">
        <v>0</v>
      </c>
      <c r="G32" s="19">
        <v>0</v>
      </c>
      <c r="H32" s="19">
        <v>0</v>
      </c>
      <c r="I32" s="19">
        <v>0</v>
      </c>
      <c r="J32" s="19">
        <v>0</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0</v>
      </c>
      <c r="C35" s="20">
        <v>0</v>
      </c>
      <c r="D35" s="20">
        <v>0</v>
      </c>
      <c r="E35" s="20">
        <v>0</v>
      </c>
      <c r="F35" s="20">
        <v>0</v>
      </c>
      <c r="G35" s="20">
        <v>0</v>
      </c>
      <c r="H35" s="20">
        <v>0</v>
      </c>
      <c r="I35" s="20">
        <v>0</v>
      </c>
      <c r="J35" s="20">
        <v>0</v>
      </c>
    </row>
    <row r="36" spans="1:10" s="11" customFormat="1" x14ac:dyDescent="0.2">
      <c r="A36" s="19" t="s">
        <v>16</v>
      </c>
      <c r="B36" s="21">
        <v>0</v>
      </c>
      <c r="C36" s="21">
        <v>0</v>
      </c>
      <c r="D36" s="21">
        <v>0</v>
      </c>
      <c r="E36" s="21">
        <v>0</v>
      </c>
      <c r="F36" s="21">
        <v>0</v>
      </c>
      <c r="G36" s="21">
        <v>0</v>
      </c>
      <c r="H36" s="21">
        <v>0</v>
      </c>
      <c r="I36" s="21">
        <v>0</v>
      </c>
      <c r="J36" s="21">
        <v>0</v>
      </c>
    </row>
    <row r="37" spans="1:10" s="20" customFormat="1" x14ac:dyDescent="0.2">
      <c r="A37" s="20" t="s">
        <v>15</v>
      </c>
      <c r="B37" s="20">
        <f>+B35+B36</f>
        <v>0</v>
      </c>
      <c r="C37" s="20">
        <f>+C35+C36</f>
        <v>0</v>
      </c>
      <c r="D37" s="20">
        <f t="shared" ref="D37:J37" si="8">+D35+D36</f>
        <v>0</v>
      </c>
      <c r="E37" s="20">
        <f t="shared" si="8"/>
        <v>0</v>
      </c>
      <c r="F37" s="20">
        <f t="shared" si="8"/>
        <v>0</v>
      </c>
      <c r="G37" s="20">
        <f t="shared" si="8"/>
        <v>0</v>
      </c>
      <c r="H37" s="20">
        <f t="shared" si="8"/>
        <v>0</v>
      </c>
      <c r="I37" s="20">
        <f t="shared" si="8"/>
        <v>0</v>
      </c>
      <c r="J37" s="20">
        <f t="shared" si="8"/>
        <v>0</v>
      </c>
    </row>
    <row r="39" spans="1:10" s="16" customFormat="1" x14ac:dyDescent="0.2">
      <c r="A39" s="18" t="s">
        <v>14</v>
      </c>
      <c r="B39" s="19">
        <v>0</v>
      </c>
      <c r="C39" s="19">
        <v>0</v>
      </c>
      <c r="D39" s="19"/>
      <c r="E39" s="19"/>
      <c r="F39" s="19"/>
      <c r="G39" s="19"/>
      <c r="H39" s="19"/>
      <c r="I39" s="19"/>
      <c r="J39" s="19"/>
    </row>
    <row r="40" spans="1:10" s="16" customFormat="1" x14ac:dyDescent="0.2">
      <c r="A40" s="18" t="s">
        <v>13</v>
      </c>
      <c r="B40" s="19">
        <v>538</v>
      </c>
      <c r="C40" s="19">
        <v>520</v>
      </c>
      <c r="D40" s="19"/>
      <c r="E40" s="19"/>
      <c r="F40" s="19"/>
      <c r="G40" s="19"/>
      <c r="H40" s="19"/>
      <c r="I40" s="19"/>
      <c r="J40" s="19"/>
    </row>
    <row r="41" spans="1:10" s="16" customFormat="1" x14ac:dyDescent="0.2">
      <c r="A41" s="18" t="s">
        <v>12</v>
      </c>
      <c r="B41" s="19">
        <f>B39+B40+180</f>
        <v>718</v>
      </c>
      <c r="C41" s="19">
        <f>C39+C40+180</f>
        <v>700</v>
      </c>
      <c r="D41" s="19"/>
      <c r="E41" s="19"/>
      <c r="F41" s="19"/>
      <c r="G41" s="19"/>
      <c r="H41" s="19"/>
      <c r="I41" s="19"/>
      <c r="J41" s="19"/>
    </row>
    <row r="42" spans="1:10" s="16" customFormat="1" x14ac:dyDescent="0.2">
      <c r="A42" s="18" t="s">
        <v>11</v>
      </c>
      <c r="B42" s="17">
        <v>875</v>
      </c>
      <c r="C42" s="17">
        <v>875</v>
      </c>
      <c r="D42" s="17"/>
      <c r="E42" s="17"/>
      <c r="F42" s="17"/>
      <c r="G42" s="17"/>
      <c r="H42" s="17"/>
      <c r="I42" s="17"/>
      <c r="J42" s="17"/>
    </row>
    <row r="43" spans="1:10" x14ac:dyDescent="0.2">
      <c r="B43" s="16"/>
      <c r="C43" s="16"/>
      <c r="D43" s="16"/>
      <c r="E43" s="16"/>
    </row>
    <row r="44" spans="1:10" x14ac:dyDescent="0.2">
      <c r="A44" s="15" t="s">
        <v>10</v>
      </c>
      <c r="B44" s="27">
        <v>32</v>
      </c>
      <c r="C44" s="27">
        <v>0</v>
      </c>
      <c r="D44" s="27"/>
      <c r="E44" s="27"/>
      <c r="F44" s="27"/>
      <c r="G44" s="27"/>
      <c r="H44" s="27"/>
      <c r="I44" s="14"/>
      <c r="J44" s="14"/>
    </row>
    <row r="46" spans="1:10" x14ac:dyDescent="0.2">
      <c r="A46" s="1" t="s">
        <v>9</v>
      </c>
      <c r="B46" s="12">
        <v>909</v>
      </c>
      <c r="C46" s="12">
        <v>924</v>
      </c>
      <c r="D46" s="11"/>
      <c r="E46" s="11"/>
      <c r="F46" s="11"/>
      <c r="G46" s="11"/>
    </row>
    <row r="47" spans="1:10" x14ac:dyDescent="0.2">
      <c r="A47" s="1" t="s">
        <v>8</v>
      </c>
      <c r="B47" s="12">
        <v>106</v>
      </c>
      <c r="C47" s="12">
        <v>98.399999999999991</v>
      </c>
      <c r="D47" s="11"/>
      <c r="E47" s="11"/>
      <c r="F47" s="11"/>
      <c r="G47" s="11"/>
    </row>
    <row r="48" spans="1:10" x14ac:dyDescent="0.2">
      <c r="A48" s="1" t="s">
        <v>7</v>
      </c>
      <c r="B48" s="12"/>
      <c r="C48" s="12">
        <v>10.960699999999989</v>
      </c>
      <c r="D48" s="11"/>
      <c r="E48" s="11"/>
      <c r="F48" s="11"/>
      <c r="G48" s="11"/>
    </row>
    <row r="50" spans="1:10" s="10" customFormat="1" x14ac:dyDescent="0.2">
      <c r="A50" s="10" t="s">
        <v>6</v>
      </c>
      <c r="B50" s="10">
        <f>+SUM(B39:B40)/B47</f>
        <v>5.0754716981132075</v>
      </c>
      <c r="C50" s="10">
        <f>+SUM(C39:C40)/C47</f>
        <v>5.2845528455284558</v>
      </c>
    </row>
    <row r="51" spans="1:10" s="10" customFormat="1" x14ac:dyDescent="0.2">
      <c r="A51" s="10" t="s">
        <v>5</v>
      </c>
      <c r="B51" s="10">
        <f>+B41/B47</f>
        <v>6.7735849056603774</v>
      </c>
      <c r="C51" s="10">
        <f>+C41/C47</f>
        <v>7.1138211382113825</v>
      </c>
    </row>
    <row r="52" spans="1:10" s="10" customFormat="1" x14ac:dyDescent="0.2">
      <c r="A52" s="10" t="s">
        <v>4</v>
      </c>
      <c r="B52" s="10">
        <f>+(B41-B44)/B47</f>
        <v>6.4716981132075473</v>
      </c>
      <c r="C52" s="10">
        <f>+(C41-C44)/C47</f>
        <v>7.1138211382113825</v>
      </c>
    </row>
    <row r="53" spans="1:10" s="6" customFormat="1" x14ac:dyDescent="0.2">
      <c r="A53" s="6" t="s">
        <v>3</v>
      </c>
      <c r="B53" s="6">
        <f>+B48/B41</f>
        <v>0</v>
      </c>
      <c r="C53" s="6">
        <f>+C48/C41</f>
        <v>1.5658142857142839E-2</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14.726415094339623</v>
      </c>
      <c r="C55" s="7">
        <f>IF(C42=0,IF(C54="","","*"&amp;TEXT(C54,"0.0x")),(C41+C42-C44)/C47)</f>
        <v>16.006097560975611</v>
      </c>
      <c r="D55" s="7"/>
      <c r="E55" s="7"/>
      <c r="F55" s="7"/>
      <c r="G55" s="7"/>
      <c r="H55" s="7"/>
      <c r="I55" s="7"/>
      <c r="J55" s="7" t="str">
        <f t="shared" ref="J55" si="9">IF(J42=0,IF(J54="","",CONCATENATE("* ",J54,"x")),(J41+J42-J44)/J47)</f>
        <v/>
      </c>
    </row>
    <row r="56" spans="1:10" x14ac:dyDescent="0.2">
      <c r="G56" s="3"/>
    </row>
    <row r="57" spans="1:10" ht="80.25" customHeight="1" x14ac:dyDescent="0.2">
      <c r="A57" s="5" t="s">
        <v>0</v>
      </c>
      <c r="B57" s="4" t="s">
        <v>616</v>
      </c>
      <c r="C57" s="4" t="s">
        <v>104</v>
      </c>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4322-50A6-4479-B093-0EEB86601FB2}">
  <dimension ref="A2:K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544</v>
      </c>
    </row>
    <row r="3" spans="1:11" s="35" customFormat="1" x14ac:dyDescent="0.2">
      <c r="A3" s="36" t="s">
        <v>43</v>
      </c>
      <c r="B3" s="35" t="s">
        <v>545</v>
      </c>
    </row>
    <row r="4" spans="1:11" x14ac:dyDescent="0.2">
      <c r="A4" s="34" t="s">
        <v>41</v>
      </c>
      <c r="B4" s="1" t="s">
        <v>40</v>
      </c>
    </row>
    <row r="5" spans="1:11" x14ac:dyDescent="0.2">
      <c r="A5" s="34" t="s">
        <v>39</v>
      </c>
    </row>
    <row r="6" spans="1:11" x14ac:dyDescent="0.2">
      <c r="A6" s="34" t="s">
        <v>38</v>
      </c>
      <c r="B6" s="1">
        <v>3</v>
      </c>
    </row>
    <row r="7" spans="1:11" x14ac:dyDescent="0.2">
      <c r="A7" s="34" t="s">
        <v>37</v>
      </c>
      <c r="B7" s="1" t="s">
        <v>529</v>
      </c>
    </row>
    <row r="8" spans="1:11" x14ac:dyDescent="0.2">
      <c r="A8" s="34" t="s">
        <v>281</v>
      </c>
      <c r="B8" s="1" t="s">
        <v>393</v>
      </c>
    </row>
    <row r="9" spans="1:11" x14ac:dyDescent="0.2">
      <c r="A9" s="22"/>
    </row>
    <row r="10" spans="1:11" x14ac:dyDescent="0.2">
      <c r="A10" s="22" t="s">
        <v>36</v>
      </c>
      <c r="B10" s="33">
        <v>44286</v>
      </c>
      <c r="C10" s="33">
        <v>44196</v>
      </c>
      <c r="D10" s="33">
        <v>44104</v>
      </c>
      <c r="E10" s="33">
        <f>EOMONTH(D10,-3)</f>
        <v>44012</v>
      </c>
      <c r="F10" s="33">
        <f t="shared" ref="F10:K10" si="0">EOMONTH(E10,-3)</f>
        <v>43921</v>
      </c>
      <c r="G10" s="33">
        <f t="shared" si="0"/>
        <v>43830</v>
      </c>
      <c r="H10" s="33">
        <f t="shared" si="0"/>
        <v>43738</v>
      </c>
      <c r="I10" s="33">
        <f t="shared" si="0"/>
        <v>43646</v>
      </c>
      <c r="J10" s="33">
        <f t="shared" si="0"/>
        <v>43555</v>
      </c>
      <c r="K10" s="33">
        <f t="shared" si="0"/>
        <v>43465</v>
      </c>
    </row>
    <row r="12" spans="1:11" x14ac:dyDescent="0.2">
      <c r="A12" s="15" t="s">
        <v>35</v>
      </c>
      <c r="B12" s="19">
        <v>654.43100000000004</v>
      </c>
      <c r="C12" s="19">
        <v>310.22800000000001</v>
      </c>
      <c r="D12" s="19">
        <v>367.02299999999991</v>
      </c>
      <c r="E12" s="19">
        <v>560.17600000000004</v>
      </c>
      <c r="F12" s="19">
        <v>427.52499999999998</v>
      </c>
      <c r="G12" s="19">
        <v>170.536</v>
      </c>
      <c r="H12" s="19">
        <v>202.53899999999999</v>
      </c>
      <c r="I12" s="19">
        <v>443.54700000000003</v>
      </c>
      <c r="J12" s="19">
        <v>450.63600000000002</v>
      </c>
      <c r="K12" s="19">
        <v>199.488</v>
      </c>
    </row>
    <row r="13" spans="1:11" s="28" customFormat="1" x14ac:dyDescent="0.2">
      <c r="A13" s="28" t="s">
        <v>34</v>
      </c>
      <c r="B13" s="28">
        <f>+B12/F12-1</f>
        <v>0.53074323138997737</v>
      </c>
      <c r="C13" s="28">
        <f>+C12/G12-1</f>
        <v>0.81913496270582176</v>
      </c>
      <c r="D13" s="28">
        <f>+D12/H12-1</f>
        <v>0.8121102602461745</v>
      </c>
      <c r="E13" s="28">
        <f t="shared" ref="E13:G13" si="1">+E12/I12-1</f>
        <v>0.26294620412267466</v>
      </c>
      <c r="F13" s="28">
        <f t="shared" si="1"/>
        <v>-5.1285294561464356E-2</v>
      </c>
      <c r="G13" s="28">
        <f t="shared" si="1"/>
        <v>-0.14513153673403911</v>
      </c>
    </row>
    <row r="14" spans="1:11" s="23" customFormat="1" x14ac:dyDescent="0.2">
      <c r="A14" s="31" t="s">
        <v>33</v>
      </c>
      <c r="B14" s="32" t="s">
        <v>32</v>
      </c>
      <c r="C14" s="32" t="s">
        <v>32</v>
      </c>
      <c r="D14" s="32" t="s">
        <v>32</v>
      </c>
      <c r="E14" s="32" t="s">
        <v>32</v>
      </c>
      <c r="F14" s="32" t="s">
        <v>32</v>
      </c>
      <c r="G14" s="32" t="s">
        <v>32</v>
      </c>
      <c r="H14" s="31"/>
      <c r="I14" s="31"/>
      <c r="J14" s="31"/>
      <c r="K14" s="31"/>
    </row>
    <row r="16" spans="1:11" s="22" customFormat="1" x14ac:dyDescent="0.2">
      <c r="A16" s="30" t="s">
        <v>31</v>
      </c>
      <c r="B16" s="29">
        <v>145.881</v>
      </c>
      <c r="C16" s="29">
        <v>37.762</v>
      </c>
      <c r="D16" s="29">
        <v>30</v>
      </c>
      <c r="E16" s="29">
        <v>116</v>
      </c>
      <c r="F16" s="29">
        <v>92</v>
      </c>
      <c r="G16" s="29">
        <v>0</v>
      </c>
      <c r="H16" s="29">
        <v>7</v>
      </c>
      <c r="I16" s="29">
        <v>86</v>
      </c>
      <c r="J16" s="29">
        <v>98</v>
      </c>
      <c r="K16" s="29">
        <v>2</v>
      </c>
    </row>
    <row r="17" spans="1:11" s="28" customFormat="1" x14ac:dyDescent="0.2">
      <c r="A17" s="28" t="s">
        <v>30</v>
      </c>
      <c r="B17" s="28">
        <f>+B16/B12</f>
        <v>0.22291272876743307</v>
      </c>
      <c r="C17" s="28">
        <f>+C16/C12</f>
        <v>0.12172337764482896</v>
      </c>
      <c r="D17" s="28">
        <f>+D16/D12</f>
        <v>8.1738746618059382E-2</v>
      </c>
      <c r="E17" s="28">
        <f t="shared" ref="E17:K17" si="2">+E16/E12</f>
        <v>0.20707777555625373</v>
      </c>
      <c r="F17" s="28">
        <f t="shared" si="2"/>
        <v>0.21519209402958892</v>
      </c>
      <c r="G17" s="28">
        <f t="shared" si="2"/>
        <v>0</v>
      </c>
      <c r="H17" s="28">
        <f t="shared" si="2"/>
        <v>3.4561244994791129E-2</v>
      </c>
      <c r="I17" s="28">
        <f t="shared" si="2"/>
        <v>0.19389151544255737</v>
      </c>
      <c r="J17" s="28">
        <f t="shared" si="2"/>
        <v>0.21747041958476462</v>
      </c>
      <c r="K17" s="28">
        <f t="shared" si="2"/>
        <v>1.002566570420276E-2</v>
      </c>
    </row>
    <row r="18" spans="1:11" s="23" customFormat="1" x14ac:dyDescent="0.2"/>
    <row r="19" spans="1:11" s="23" customFormat="1" x14ac:dyDescent="0.2">
      <c r="A19" s="15" t="s">
        <v>29</v>
      </c>
      <c r="B19" s="19">
        <v>0</v>
      </c>
      <c r="C19" s="19">
        <v>0</v>
      </c>
      <c r="D19" s="19">
        <v>0</v>
      </c>
      <c r="E19" s="19">
        <v>0</v>
      </c>
      <c r="F19" s="19">
        <v>0</v>
      </c>
      <c r="G19" s="19">
        <v>0</v>
      </c>
      <c r="H19" s="19">
        <v>0</v>
      </c>
      <c r="I19" s="19">
        <v>0</v>
      </c>
      <c r="J19" s="19">
        <v>0</v>
      </c>
      <c r="K19" s="19">
        <v>0</v>
      </c>
    </row>
    <row r="20" spans="1:11" s="23" customFormat="1" x14ac:dyDescent="0.2">
      <c r="A20" s="15" t="s">
        <v>28</v>
      </c>
      <c r="B20" s="19">
        <v>0</v>
      </c>
      <c r="C20" s="19">
        <v>0</v>
      </c>
      <c r="D20" s="19">
        <v>0</v>
      </c>
      <c r="E20" s="19">
        <v>0</v>
      </c>
      <c r="F20" s="19">
        <v>0</v>
      </c>
      <c r="G20" s="19">
        <v>0</v>
      </c>
      <c r="H20" s="19">
        <v>0</v>
      </c>
      <c r="I20" s="19">
        <v>0</v>
      </c>
      <c r="J20" s="19">
        <v>0</v>
      </c>
      <c r="K20" s="19">
        <v>0</v>
      </c>
    </row>
    <row r="21" spans="1:11" s="23" customFormat="1" x14ac:dyDescent="0.2">
      <c r="A21" s="15" t="s">
        <v>18</v>
      </c>
      <c r="B21" s="19">
        <v>0</v>
      </c>
      <c r="C21" s="19">
        <v>0</v>
      </c>
      <c r="D21" s="19">
        <v>0</v>
      </c>
      <c r="E21" s="19">
        <v>0</v>
      </c>
      <c r="F21" s="19">
        <v>0</v>
      </c>
      <c r="G21" s="19">
        <v>0</v>
      </c>
      <c r="H21" s="19">
        <v>0</v>
      </c>
      <c r="I21" s="19">
        <v>0</v>
      </c>
      <c r="J21" s="19">
        <v>0</v>
      </c>
      <c r="K21" s="19">
        <v>0</v>
      </c>
    </row>
    <row r="22" spans="1:11" s="22" customFormat="1" x14ac:dyDescent="0.2">
      <c r="A22" s="22" t="s">
        <v>23</v>
      </c>
      <c r="B22" s="20">
        <f>SUM(B16,B19:B21)</f>
        <v>145.881</v>
      </c>
      <c r="C22" s="20">
        <f>SUM(C16,C19:C21)</f>
        <v>37.762</v>
      </c>
      <c r="D22" s="20">
        <f>SUM(D16,D19:D21)</f>
        <v>30</v>
      </c>
      <c r="E22" s="20">
        <f t="shared" ref="E22:K22" si="3">SUM(E16,E19:E21)</f>
        <v>116</v>
      </c>
      <c r="F22" s="20">
        <f t="shared" si="3"/>
        <v>92</v>
      </c>
      <c r="G22" s="20">
        <f t="shared" si="3"/>
        <v>0</v>
      </c>
      <c r="H22" s="20">
        <f t="shared" si="3"/>
        <v>7</v>
      </c>
      <c r="I22" s="20">
        <f t="shared" si="3"/>
        <v>86</v>
      </c>
      <c r="J22" s="20">
        <f t="shared" si="3"/>
        <v>98</v>
      </c>
      <c r="K22" s="20">
        <f t="shared" si="3"/>
        <v>2</v>
      </c>
    </row>
    <row r="23" spans="1:11" s="22" customFormat="1" x14ac:dyDescent="0.2">
      <c r="B23" s="20"/>
      <c r="C23" s="20"/>
      <c r="D23" s="20"/>
      <c r="E23" s="20"/>
      <c r="F23" s="20"/>
      <c r="G23" s="20"/>
      <c r="H23" s="20"/>
      <c r="I23" s="20"/>
      <c r="J23" s="20"/>
      <c r="K23" s="20"/>
    </row>
    <row r="24" spans="1:11" s="22" customFormat="1" x14ac:dyDescent="0.2">
      <c r="A24" s="22" t="s">
        <v>27</v>
      </c>
      <c r="B24" s="20">
        <f>SUM(B22:E22)</f>
        <v>329.64300000000003</v>
      </c>
      <c r="C24" s="20">
        <f>SUM(C22:F22)</f>
        <v>275.762</v>
      </c>
      <c r="D24" s="20">
        <f>SUM(D22:G22)</f>
        <v>238</v>
      </c>
      <c r="E24" s="20">
        <f t="shared" ref="E24:H24" si="4">SUM(E22:H22)</f>
        <v>215</v>
      </c>
      <c r="F24" s="20">
        <f t="shared" si="4"/>
        <v>185</v>
      </c>
      <c r="G24" s="20">
        <f t="shared" si="4"/>
        <v>191</v>
      </c>
      <c r="H24" s="20">
        <f t="shared" si="4"/>
        <v>193</v>
      </c>
      <c r="I24" s="20"/>
      <c r="J24" s="20"/>
      <c r="K24" s="20"/>
    </row>
    <row r="25" spans="1:11" s="23" customFormat="1" x14ac:dyDescent="0.2">
      <c r="A25" s="15" t="s">
        <v>26</v>
      </c>
      <c r="B25" s="27">
        <v>0</v>
      </c>
      <c r="C25" s="27">
        <v>0</v>
      </c>
      <c r="D25" s="27">
        <v>0</v>
      </c>
      <c r="E25" s="27">
        <v>0</v>
      </c>
      <c r="F25" s="27">
        <v>0</v>
      </c>
      <c r="G25" s="27">
        <v>0</v>
      </c>
      <c r="H25" s="27">
        <v>0</v>
      </c>
      <c r="I25" s="27">
        <v>0</v>
      </c>
      <c r="J25" s="27">
        <v>0</v>
      </c>
      <c r="K25" s="27">
        <v>0</v>
      </c>
    </row>
    <row r="26" spans="1:11" s="23" customFormat="1" x14ac:dyDescent="0.2">
      <c r="A26" s="15" t="s">
        <v>25</v>
      </c>
      <c r="B26" s="21">
        <v>0</v>
      </c>
      <c r="C26" s="21">
        <v>0</v>
      </c>
      <c r="D26" s="21">
        <v>0</v>
      </c>
      <c r="E26" s="21">
        <v>0</v>
      </c>
      <c r="F26" s="21">
        <v>0</v>
      </c>
      <c r="G26" s="21">
        <v>0</v>
      </c>
      <c r="H26" s="21">
        <v>0</v>
      </c>
      <c r="I26" s="26"/>
      <c r="J26" s="26"/>
      <c r="K26" s="26"/>
    </row>
    <row r="27" spans="1:11" s="24" customFormat="1" x14ac:dyDescent="0.2">
      <c r="A27" s="22" t="s">
        <v>24</v>
      </c>
      <c r="B27" s="20">
        <f>SUM(B24:B26)</f>
        <v>329.64300000000003</v>
      </c>
      <c r="C27" s="20">
        <f>SUM(C24:C26)</f>
        <v>275.762</v>
      </c>
      <c r="D27" s="20">
        <f>SUM(D24:D26)</f>
        <v>238</v>
      </c>
      <c r="E27" s="20">
        <f t="shared" ref="E27:H27" si="5">SUM(E24:E26)</f>
        <v>215</v>
      </c>
      <c r="F27" s="20">
        <f t="shared" si="5"/>
        <v>185</v>
      </c>
      <c r="G27" s="20">
        <f t="shared" si="5"/>
        <v>191</v>
      </c>
      <c r="H27" s="20">
        <f t="shared" si="5"/>
        <v>193</v>
      </c>
      <c r="I27" s="25"/>
      <c r="J27" s="25"/>
      <c r="K27" s="25"/>
    </row>
    <row r="28" spans="1:11" s="23" customFormat="1" x14ac:dyDescent="0.2"/>
    <row r="29" spans="1:11" s="22" customFormat="1" x14ac:dyDescent="0.2">
      <c r="A29" s="22" t="s">
        <v>23</v>
      </c>
      <c r="B29" s="20">
        <f t="shared" ref="B29:C29" si="6">B22</f>
        <v>145.881</v>
      </c>
      <c r="C29" s="20">
        <f t="shared" si="6"/>
        <v>37.762</v>
      </c>
      <c r="D29" s="20">
        <f t="shared" ref="D29:K29" si="7">D22</f>
        <v>30</v>
      </c>
      <c r="E29" s="20">
        <f t="shared" si="7"/>
        <v>116</v>
      </c>
      <c r="F29" s="20">
        <f t="shared" si="7"/>
        <v>92</v>
      </c>
      <c r="G29" s="20">
        <f t="shared" si="7"/>
        <v>0</v>
      </c>
      <c r="H29" s="20">
        <f t="shared" si="7"/>
        <v>7</v>
      </c>
      <c r="I29" s="20">
        <f t="shared" si="7"/>
        <v>86</v>
      </c>
      <c r="J29" s="20">
        <f t="shared" si="7"/>
        <v>98</v>
      </c>
      <c r="K29" s="20">
        <f t="shared" si="7"/>
        <v>2</v>
      </c>
    </row>
    <row r="30" spans="1:11" s="11" customFormat="1" x14ac:dyDescent="0.2">
      <c r="A30" s="19" t="s">
        <v>22</v>
      </c>
      <c r="B30" s="19">
        <v>-15.663999999999998</v>
      </c>
      <c r="C30" s="19">
        <v>-17.348000000000003</v>
      </c>
      <c r="D30" s="19">
        <v>-8.4190000000000005</v>
      </c>
      <c r="E30" s="19">
        <v>-10.902999999999999</v>
      </c>
      <c r="F30" s="19">
        <v>-10.656999999999998</v>
      </c>
      <c r="G30" s="19">
        <v>-10.400999999999998</v>
      </c>
      <c r="H30" s="19">
        <v>-10.827000000000005</v>
      </c>
      <c r="I30" s="19">
        <v>-12.461</v>
      </c>
      <c r="J30" s="19">
        <v>-11.289</v>
      </c>
      <c r="K30" s="19">
        <v>-9.44</v>
      </c>
    </row>
    <row r="31" spans="1:11" s="11" customFormat="1" x14ac:dyDescent="0.2">
      <c r="A31" s="19" t="s">
        <v>21</v>
      </c>
      <c r="B31" s="19">
        <v>-9.9689999999999994</v>
      </c>
      <c r="C31" s="19">
        <v>-6.9530000000000003</v>
      </c>
      <c r="D31" s="19">
        <v>3.3952999999999989</v>
      </c>
      <c r="E31" s="19">
        <v>-8.7142999999999997</v>
      </c>
      <c r="F31" s="19">
        <v>-4.1319999999999997</v>
      </c>
      <c r="G31" s="19">
        <v>-2.016</v>
      </c>
      <c r="H31" s="19">
        <v>-2.0169999999999995</v>
      </c>
      <c r="I31" s="19">
        <v>-3.9209999999999998</v>
      </c>
      <c r="J31" s="19">
        <v>-4.1429999999999998</v>
      </c>
      <c r="K31" s="19">
        <v>-2.6480000000000001</v>
      </c>
    </row>
    <row r="32" spans="1:11" s="11" customFormat="1" x14ac:dyDescent="0.2">
      <c r="A32" s="19" t="s">
        <v>20</v>
      </c>
      <c r="B32" s="19"/>
      <c r="C32" s="19">
        <v>-178.81079999999997</v>
      </c>
      <c r="D32" s="19">
        <v>16.719999999999995</v>
      </c>
      <c r="E32" s="19">
        <v>224.13499999999999</v>
      </c>
      <c r="F32" s="19">
        <v>-210.45699999999999</v>
      </c>
      <c r="G32" s="19">
        <v>-55.908999999999985</v>
      </c>
      <c r="H32" s="19">
        <v>96.679000000000002</v>
      </c>
      <c r="I32" s="19">
        <v>170.24700000000004</v>
      </c>
      <c r="J32" s="19">
        <v>-177.846</v>
      </c>
      <c r="K32" s="19">
        <v>-82.335000000000022</v>
      </c>
    </row>
    <row r="33" spans="1:11" s="11" customFormat="1" x14ac:dyDescent="0.2">
      <c r="A33" s="19" t="s">
        <v>19</v>
      </c>
      <c r="B33" s="19">
        <v>0</v>
      </c>
      <c r="C33" s="19">
        <v>0</v>
      </c>
      <c r="D33" s="19">
        <v>0</v>
      </c>
      <c r="E33" s="19">
        <v>0</v>
      </c>
      <c r="F33" s="19">
        <v>0</v>
      </c>
      <c r="G33" s="19">
        <v>0</v>
      </c>
      <c r="H33" s="19">
        <v>0</v>
      </c>
      <c r="I33" s="19">
        <v>0</v>
      </c>
      <c r="J33" s="19">
        <v>0</v>
      </c>
      <c r="K33" s="19">
        <v>0</v>
      </c>
    </row>
    <row r="34" spans="1:11" s="11" customFormat="1" x14ac:dyDescent="0.2">
      <c r="A34" s="19" t="s">
        <v>18</v>
      </c>
      <c r="B34" s="21">
        <v>0</v>
      </c>
      <c r="C34" s="21">
        <v>0</v>
      </c>
      <c r="D34" s="21">
        <v>0</v>
      </c>
      <c r="E34" s="21">
        <v>0</v>
      </c>
      <c r="F34" s="21">
        <v>0</v>
      </c>
      <c r="G34" s="21">
        <v>0</v>
      </c>
      <c r="H34" s="21">
        <v>0</v>
      </c>
      <c r="I34" s="21">
        <v>0</v>
      </c>
      <c r="J34" s="21">
        <v>0</v>
      </c>
      <c r="K34" s="21">
        <v>0</v>
      </c>
    </row>
    <row r="35" spans="1:11" s="20" customFormat="1" x14ac:dyDescent="0.2">
      <c r="A35" s="20" t="s">
        <v>17</v>
      </c>
      <c r="B35" s="20">
        <v>-46.115000000000002</v>
      </c>
      <c r="C35" s="20">
        <v>-162.554</v>
      </c>
      <c r="D35" s="20">
        <v>204.92200000000003</v>
      </c>
      <c r="E35" s="20">
        <v>313.762</v>
      </c>
      <c r="F35" s="20">
        <v>-149.005</v>
      </c>
      <c r="G35" s="20">
        <v>-65.632000000000005</v>
      </c>
      <c r="H35" s="20">
        <v>80.409000000000034</v>
      </c>
      <c r="I35" s="20">
        <v>233.27099999999999</v>
      </c>
      <c r="J35" s="20">
        <v>-98.075000000000003</v>
      </c>
      <c r="K35" s="20">
        <v>-92.614000000000004</v>
      </c>
    </row>
    <row r="36" spans="1:11" s="11" customFormat="1" x14ac:dyDescent="0.2">
      <c r="A36" s="19" t="s">
        <v>16</v>
      </c>
      <c r="B36" s="21">
        <v>-12.98</v>
      </c>
      <c r="C36" s="21">
        <v>-5.26</v>
      </c>
      <c r="D36" s="21">
        <v>-9.2250000000000014</v>
      </c>
      <c r="E36" s="21">
        <v>-2.266</v>
      </c>
      <c r="F36" s="21">
        <v>-10.43</v>
      </c>
      <c r="G36" s="21">
        <v>-5.3019999999999996</v>
      </c>
      <c r="H36" s="21">
        <v>-12.097999999999999</v>
      </c>
      <c r="I36" s="21">
        <v>-3.6110000000000002</v>
      </c>
      <c r="J36" s="21">
        <v>-4.3529999999999998</v>
      </c>
      <c r="K36" s="21">
        <v>-4.1559999999999997</v>
      </c>
    </row>
    <row r="37" spans="1:11" s="20" customFormat="1" x14ac:dyDescent="0.2">
      <c r="A37" s="20" t="s">
        <v>15</v>
      </c>
      <c r="B37" s="20">
        <f>+B35+B36</f>
        <v>-59.094999999999999</v>
      </c>
      <c r="C37" s="20">
        <f>+C35+C36</f>
        <v>-167.81399999999999</v>
      </c>
      <c r="D37" s="20">
        <f>+D35+D36</f>
        <v>195.69700000000003</v>
      </c>
      <c r="E37" s="20">
        <f t="shared" ref="E37:K37" si="8">+E35+E36</f>
        <v>311.49599999999998</v>
      </c>
      <c r="F37" s="20">
        <f t="shared" si="8"/>
        <v>-159.435</v>
      </c>
      <c r="G37" s="20">
        <f t="shared" si="8"/>
        <v>-70.933999999999997</v>
      </c>
      <c r="H37" s="20">
        <f t="shared" si="8"/>
        <v>68.311000000000035</v>
      </c>
      <c r="I37" s="20">
        <f t="shared" si="8"/>
        <v>229.66</v>
      </c>
      <c r="J37" s="20">
        <f t="shared" si="8"/>
        <v>-102.428</v>
      </c>
      <c r="K37" s="20">
        <f t="shared" si="8"/>
        <v>-96.77000000000001</v>
      </c>
    </row>
    <row r="39" spans="1:11" s="16" customFormat="1" x14ac:dyDescent="0.2">
      <c r="A39" s="18" t="s">
        <v>14</v>
      </c>
      <c r="B39" s="19">
        <v>0</v>
      </c>
      <c r="C39" s="19">
        <v>0</v>
      </c>
      <c r="D39" s="19">
        <v>0</v>
      </c>
      <c r="E39" s="19"/>
      <c r="F39" s="19"/>
      <c r="G39" s="19"/>
      <c r="H39" s="19"/>
      <c r="I39" s="19"/>
      <c r="J39" s="19"/>
      <c r="K39" s="19"/>
    </row>
    <row r="40" spans="1:11" s="16" customFormat="1" x14ac:dyDescent="0.2">
      <c r="A40" s="18" t="s">
        <v>13</v>
      </c>
      <c r="B40" s="19">
        <v>1246.875</v>
      </c>
      <c r="C40" s="19">
        <v>1250</v>
      </c>
      <c r="D40" s="19">
        <v>1200</v>
      </c>
      <c r="E40" s="19"/>
      <c r="F40" s="19"/>
      <c r="G40" s="19"/>
      <c r="H40" s="19"/>
      <c r="I40" s="19"/>
      <c r="J40" s="19"/>
      <c r="K40" s="19"/>
    </row>
    <row r="41" spans="1:11" s="16" customFormat="1" x14ac:dyDescent="0.2">
      <c r="A41" s="18" t="s">
        <v>12</v>
      </c>
      <c r="B41" s="19">
        <f>B39+B40</f>
        <v>1246.875</v>
      </c>
      <c r="C41" s="19">
        <f>C39+C40</f>
        <v>1250</v>
      </c>
      <c r="D41" s="19">
        <f>D39+D40</f>
        <v>1200</v>
      </c>
      <c r="E41" s="19"/>
      <c r="F41" s="19"/>
      <c r="G41" s="19"/>
      <c r="H41" s="19"/>
      <c r="I41" s="19"/>
      <c r="J41" s="19"/>
      <c r="K41" s="19"/>
    </row>
    <row r="42" spans="1:11" s="16" customFormat="1" x14ac:dyDescent="0.2">
      <c r="A42" s="18" t="s">
        <v>11</v>
      </c>
      <c r="B42" s="17">
        <v>1336</v>
      </c>
      <c r="C42" s="17">
        <v>1336</v>
      </c>
      <c r="D42" s="17">
        <v>1336</v>
      </c>
      <c r="E42" s="17"/>
      <c r="F42" s="17"/>
      <c r="G42" s="17"/>
      <c r="H42" s="17"/>
      <c r="I42" s="17"/>
      <c r="J42" s="17"/>
      <c r="K42" s="17"/>
    </row>
    <row r="43" spans="1:11" x14ac:dyDescent="0.2">
      <c r="B43" s="16"/>
      <c r="C43" s="16"/>
      <c r="D43" s="16"/>
      <c r="E43" s="16"/>
      <c r="F43" s="16"/>
    </row>
    <row r="44" spans="1:11" x14ac:dyDescent="0.2">
      <c r="A44" s="15" t="s">
        <v>10</v>
      </c>
      <c r="B44" s="27">
        <v>379.93900000000002</v>
      </c>
      <c r="C44" s="27">
        <v>546.26300000000003</v>
      </c>
      <c r="D44" s="27">
        <v>276</v>
      </c>
      <c r="E44" s="27"/>
      <c r="F44" s="27"/>
      <c r="G44" s="27"/>
      <c r="H44" s="27"/>
      <c r="I44" s="27"/>
      <c r="J44" s="14"/>
      <c r="K44" s="14"/>
    </row>
    <row r="46" spans="1:11" x14ac:dyDescent="0.2">
      <c r="A46" s="1" t="s">
        <v>9</v>
      </c>
      <c r="B46" s="13">
        <f>SUM(B12:E12)</f>
        <v>1891.8580000000002</v>
      </c>
      <c r="C46" s="13">
        <f>SUM(C12:F12)</f>
        <v>1664.9520000000002</v>
      </c>
      <c r="D46" s="12">
        <v>1513</v>
      </c>
      <c r="E46" s="11"/>
      <c r="F46" s="11"/>
      <c r="G46" s="11"/>
      <c r="H46" s="11"/>
    </row>
    <row r="47" spans="1:11" x14ac:dyDescent="0.2">
      <c r="A47" s="1" t="s">
        <v>8</v>
      </c>
      <c r="B47" s="13">
        <f>B27</f>
        <v>329.64300000000003</v>
      </c>
      <c r="C47" s="13">
        <f>C27</f>
        <v>275.762</v>
      </c>
      <c r="D47" s="12">
        <v>226</v>
      </c>
      <c r="E47" s="11"/>
      <c r="F47" s="11"/>
      <c r="G47" s="11"/>
      <c r="H47" s="11"/>
    </row>
    <row r="48" spans="1:11" x14ac:dyDescent="0.2">
      <c r="A48" s="1" t="s">
        <v>7</v>
      </c>
      <c r="B48" s="13">
        <f>SUM(B37:E37)</f>
        <v>280.28399999999999</v>
      </c>
      <c r="C48" s="13">
        <f>SUM(C37:F37)</f>
        <v>179.94400000000002</v>
      </c>
      <c r="D48" s="12">
        <v>130</v>
      </c>
      <c r="E48" s="11"/>
      <c r="F48" s="11"/>
      <c r="G48" s="11"/>
      <c r="H48" s="11"/>
    </row>
    <row r="50" spans="1:11" s="10" customFormat="1" x14ac:dyDescent="0.2">
      <c r="A50" s="10" t="s">
        <v>6</v>
      </c>
      <c r="B50" s="10">
        <f>+SUM(B39:B40)/B47</f>
        <v>3.782501069338648</v>
      </c>
      <c r="C50" s="10">
        <f>+SUM(C39:C40)/C47</f>
        <v>4.5328943074100128</v>
      </c>
      <c r="D50" s="10">
        <f>+SUM(D39:D40)/D47</f>
        <v>5.3097345132743365</v>
      </c>
    </row>
    <row r="51" spans="1:11" s="10" customFormat="1" x14ac:dyDescent="0.2">
      <c r="A51" s="10" t="s">
        <v>5</v>
      </c>
      <c r="B51" s="10">
        <f>+B41/B47</f>
        <v>3.782501069338648</v>
      </c>
      <c r="C51" s="10">
        <f>+C41/C47</f>
        <v>4.5328943074100128</v>
      </c>
      <c r="D51" s="10">
        <f>+D41/D47</f>
        <v>5.3097345132743365</v>
      </c>
    </row>
    <row r="52" spans="1:11" s="10" customFormat="1" x14ac:dyDescent="0.2">
      <c r="A52" s="10" t="s">
        <v>4</v>
      </c>
      <c r="B52" s="10">
        <f>+(B41-B44)/B47</f>
        <v>2.6299238873569282</v>
      </c>
      <c r="C52" s="10">
        <f>+(C41-C44)/C47</f>
        <v>2.5519723529710401</v>
      </c>
      <c r="D52" s="10">
        <f>+(D41-D44)/D47</f>
        <v>4.0884955752212386</v>
      </c>
    </row>
    <row r="53" spans="1:11" s="6" customFormat="1" x14ac:dyDescent="0.2">
      <c r="A53" s="6" t="s">
        <v>3</v>
      </c>
      <c r="B53" s="6">
        <f>+B48/B41</f>
        <v>0.22478917293233083</v>
      </c>
      <c r="C53" s="6">
        <f>+C48/C41</f>
        <v>0.14395520000000001</v>
      </c>
      <c r="D53" s="6">
        <f>+D48/D41</f>
        <v>0.10833333333333334</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6.6827932035565745</v>
      </c>
      <c r="C55" s="7">
        <f>IF(C42=0,IF(C54="","","*"&amp;TEXT(C54,"0.0x")),(C41+C42-C44)/C47)</f>
        <v>7.3967297887308625</v>
      </c>
      <c r="D55" s="7">
        <f>IF(D42=0,IF(D54="","","*"&amp;TEXT(D54,"0.0x")),(D41+D42-D44)/D47)</f>
        <v>10</v>
      </c>
      <c r="E55" s="7"/>
      <c r="F55" s="7"/>
      <c r="G55" s="7"/>
      <c r="H55" s="7"/>
      <c r="I55" s="7"/>
      <c r="J55" s="7" t="str">
        <f t="shared" ref="J55:K55" si="9">IF(J42=0,IF(J54="","",CONCATENATE("* ",J54,"x")),(J41+J42-J44)/J47)</f>
        <v/>
      </c>
      <c r="K55" s="7" t="str">
        <f t="shared" si="9"/>
        <v/>
      </c>
    </row>
    <row r="56" spans="1:11" x14ac:dyDescent="0.2">
      <c r="H56" s="3"/>
    </row>
    <row r="57" spans="1:11" ht="80.25" customHeight="1" x14ac:dyDescent="0.2">
      <c r="A57" s="5" t="s">
        <v>0</v>
      </c>
      <c r="B57" s="4" t="s">
        <v>104</v>
      </c>
      <c r="C57" s="4" t="s">
        <v>104</v>
      </c>
      <c r="D57" s="4" t="s">
        <v>104</v>
      </c>
      <c r="E57" s="4"/>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ignoredErrors>
    <ignoredError sqref="B46:C46" formulaRange="1"/>
  </ignoredErrors>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E757-E0AB-4485-B5D5-AA98A1C5E3AE}">
  <dimension ref="A2:K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552</v>
      </c>
    </row>
    <row r="3" spans="1:11" s="35" customFormat="1" x14ac:dyDescent="0.2">
      <c r="A3" s="36" t="s">
        <v>43</v>
      </c>
      <c r="B3" s="35" t="s">
        <v>551</v>
      </c>
    </row>
    <row r="4" spans="1:11" x14ac:dyDescent="0.2">
      <c r="A4" s="34" t="s">
        <v>41</v>
      </c>
      <c r="B4" s="1" t="s">
        <v>40</v>
      </c>
    </row>
    <row r="5" spans="1:11" x14ac:dyDescent="0.2">
      <c r="A5" s="34" t="s">
        <v>39</v>
      </c>
    </row>
    <row r="6" spans="1:11" x14ac:dyDescent="0.2">
      <c r="A6" s="34" t="s">
        <v>38</v>
      </c>
      <c r="B6" s="1">
        <v>3</v>
      </c>
    </row>
    <row r="7" spans="1:11" x14ac:dyDescent="0.2">
      <c r="A7" s="34" t="s">
        <v>37</v>
      </c>
      <c r="B7" s="1" t="s">
        <v>394</v>
      </c>
    </row>
    <row r="8" spans="1:11" x14ac:dyDescent="0.2">
      <c r="A8" s="34" t="s">
        <v>281</v>
      </c>
      <c r="B8" s="1" t="s">
        <v>291</v>
      </c>
    </row>
    <row r="9" spans="1:11" x14ac:dyDescent="0.2">
      <c r="A9" s="22"/>
    </row>
    <row r="10" spans="1:11" x14ac:dyDescent="0.2">
      <c r="A10" s="22" t="s">
        <v>36</v>
      </c>
      <c r="B10" s="33">
        <v>44286</v>
      </c>
      <c r="C10" s="33">
        <v>44196</v>
      </c>
      <c r="D10" s="33">
        <v>44104</v>
      </c>
      <c r="E10" s="33">
        <f>EOMONTH(D10,-3)</f>
        <v>44012</v>
      </c>
      <c r="F10" s="33">
        <f t="shared" ref="F10:K10" si="0">EOMONTH(E10,-3)</f>
        <v>43921</v>
      </c>
      <c r="G10" s="33">
        <f t="shared" si="0"/>
        <v>43830</v>
      </c>
      <c r="H10" s="33">
        <f t="shared" si="0"/>
        <v>43738</v>
      </c>
      <c r="I10" s="33">
        <f t="shared" si="0"/>
        <v>43646</v>
      </c>
      <c r="J10" s="33">
        <f t="shared" si="0"/>
        <v>43555</v>
      </c>
      <c r="K10" s="33">
        <f t="shared" si="0"/>
        <v>43465</v>
      </c>
    </row>
    <row r="12" spans="1:11" x14ac:dyDescent="0.2">
      <c r="A12" s="15" t="s">
        <v>35</v>
      </c>
      <c r="B12" s="19">
        <v>125.538</v>
      </c>
      <c r="C12" s="19">
        <f>453.5-D12-E12-F12</f>
        <v>117.80900000000001</v>
      </c>
      <c r="D12" s="19">
        <v>119.84299999999999</v>
      </c>
      <c r="E12" s="19">
        <v>111.79</v>
      </c>
      <c r="F12" s="19">
        <v>104.05800000000001</v>
      </c>
      <c r="G12" s="19">
        <f>439.063-H12-I12-J12</f>
        <v>100.62099999999997</v>
      </c>
      <c r="H12" s="19">
        <v>110.447</v>
      </c>
      <c r="I12" s="19">
        <v>111.021</v>
      </c>
      <c r="J12" s="19">
        <v>116.974</v>
      </c>
      <c r="K12" s="19">
        <v>0</v>
      </c>
    </row>
    <row r="13" spans="1:11" s="28" customFormat="1" x14ac:dyDescent="0.2">
      <c r="A13" s="28" t="s">
        <v>34</v>
      </c>
      <c r="B13" s="28">
        <f>+B12/F12-1</f>
        <v>0.20642334082915292</v>
      </c>
      <c r="C13" s="28">
        <f>+C12/G12-1</f>
        <v>0.17081921268920053</v>
      </c>
      <c r="D13" s="28">
        <f>+D12/H12-1</f>
        <v>8.507247820221453E-2</v>
      </c>
      <c r="E13" s="28">
        <f t="shared" ref="E13:F13" si="1">+E12/I12-1</f>
        <v>6.9266174867819164E-3</v>
      </c>
      <c r="F13" s="28">
        <f t="shared" si="1"/>
        <v>-0.11041769965975345</v>
      </c>
    </row>
    <row r="14" spans="1:11" s="23" customFormat="1" x14ac:dyDescent="0.2">
      <c r="A14" s="31" t="s">
        <v>33</v>
      </c>
      <c r="B14" s="32" t="s">
        <v>32</v>
      </c>
      <c r="C14" s="32" t="s">
        <v>32</v>
      </c>
      <c r="D14" s="32" t="s">
        <v>32</v>
      </c>
      <c r="E14" s="32" t="s">
        <v>32</v>
      </c>
      <c r="F14" s="32" t="s">
        <v>32</v>
      </c>
      <c r="G14" s="32"/>
      <c r="H14" s="31"/>
      <c r="I14" s="31"/>
      <c r="J14" s="31"/>
      <c r="K14" s="31"/>
    </row>
    <row r="16" spans="1:11" s="22" customFormat="1" x14ac:dyDescent="0.2">
      <c r="A16" s="30" t="s">
        <v>31</v>
      </c>
      <c r="B16" s="29">
        <v>22.771000000000001</v>
      </c>
      <c r="C16" s="29"/>
      <c r="D16" s="29">
        <v>34.805999999999983</v>
      </c>
      <c r="E16" s="29">
        <v>35.427999999999997</v>
      </c>
      <c r="F16" s="29">
        <v>24.577999999999999</v>
      </c>
      <c r="G16" s="29">
        <v>21.315999999999974</v>
      </c>
      <c r="H16" s="29">
        <v>30.452000000000002</v>
      </c>
      <c r="I16" s="29">
        <v>28.99499999999999</v>
      </c>
      <c r="J16" s="29">
        <v>33.594999999999999</v>
      </c>
      <c r="K16" s="29">
        <v>0</v>
      </c>
    </row>
    <row r="17" spans="1:11" s="28" customFormat="1" x14ac:dyDescent="0.2">
      <c r="A17" s="28" t="s">
        <v>30</v>
      </c>
      <c r="B17" s="28">
        <f>+B16/B12</f>
        <v>0.18138730902196945</v>
      </c>
      <c r="D17" s="28">
        <f>+D16/D12</f>
        <v>0.29042997922281638</v>
      </c>
      <c r="E17" s="28">
        <f t="shared" ref="E17:K17" si="2">+E16/E12</f>
        <v>0.31691564540656586</v>
      </c>
      <c r="F17" s="28">
        <f t="shared" si="2"/>
        <v>0.23619519883142093</v>
      </c>
      <c r="G17" s="28">
        <f t="shared" si="2"/>
        <v>0.21184444599039942</v>
      </c>
      <c r="H17" s="28">
        <f t="shared" si="2"/>
        <v>0.27571595425860368</v>
      </c>
      <c r="I17" s="28">
        <f t="shared" si="2"/>
        <v>0.26116680627989292</v>
      </c>
      <c r="J17" s="28">
        <f t="shared" si="2"/>
        <v>0.28720057448663805</v>
      </c>
      <c r="K17" s="28" t="e">
        <f t="shared" si="2"/>
        <v>#DIV/0!</v>
      </c>
    </row>
    <row r="18" spans="1:11" s="23" customFormat="1" x14ac:dyDescent="0.2"/>
    <row r="19" spans="1:11" s="23" customFormat="1" x14ac:dyDescent="0.2">
      <c r="A19" s="15" t="s">
        <v>29</v>
      </c>
      <c r="B19" s="19">
        <v>0</v>
      </c>
      <c r="C19" s="19"/>
      <c r="D19" s="19">
        <v>0</v>
      </c>
      <c r="E19" s="19">
        <v>0</v>
      </c>
      <c r="F19" s="19">
        <v>0</v>
      </c>
      <c r="G19" s="19">
        <v>0</v>
      </c>
      <c r="H19" s="19">
        <v>0</v>
      </c>
      <c r="I19" s="19">
        <v>0</v>
      </c>
      <c r="J19" s="19">
        <v>0</v>
      </c>
      <c r="K19" s="19">
        <v>0</v>
      </c>
    </row>
    <row r="20" spans="1:11" s="23" customFormat="1" x14ac:dyDescent="0.2">
      <c r="A20" s="15" t="s">
        <v>28</v>
      </c>
      <c r="B20" s="19">
        <v>0</v>
      </c>
      <c r="C20" s="19"/>
      <c r="D20" s="19">
        <v>0</v>
      </c>
      <c r="E20" s="19">
        <v>0</v>
      </c>
      <c r="F20" s="19">
        <v>0</v>
      </c>
      <c r="G20" s="19">
        <v>0</v>
      </c>
      <c r="H20" s="19">
        <v>0</v>
      </c>
      <c r="I20" s="19">
        <v>0</v>
      </c>
      <c r="J20" s="19">
        <v>0</v>
      </c>
      <c r="K20" s="19">
        <v>0</v>
      </c>
    </row>
    <row r="21" spans="1:11" s="23" customFormat="1" x14ac:dyDescent="0.2">
      <c r="A21" s="15" t="s">
        <v>18</v>
      </c>
      <c r="B21" s="19">
        <v>0</v>
      </c>
      <c r="C21" s="19"/>
      <c r="D21" s="19">
        <v>0</v>
      </c>
      <c r="E21" s="19">
        <v>0</v>
      </c>
      <c r="F21" s="19">
        <v>0</v>
      </c>
      <c r="G21" s="19">
        <v>0</v>
      </c>
      <c r="H21" s="19">
        <v>0</v>
      </c>
      <c r="I21" s="19">
        <v>0</v>
      </c>
      <c r="J21" s="19">
        <v>0</v>
      </c>
      <c r="K21" s="19">
        <v>0</v>
      </c>
    </row>
    <row r="22" spans="1:11" s="22" customFormat="1" x14ac:dyDescent="0.2">
      <c r="A22" s="22" t="s">
        <v>23</v>
      </c>
      <c r="B22" s="20">
        <f>SUM(B16,B19:B21)</f>
        <v>22.771000000000001</v>
      </c>
      <c r="C22" s="136" t="s">
        <v>83</v>
      </c>
      <c r="D22" s="20">
        <f>SUM(D16,D19:D21)</f>
        <v>34.805999999999983</v>
      </c>
      <c r="E22" s="20">
        <f t="shared" ref="E22:K22" si="3">SUM(E16,E19:E21)</f>
        <v>35.427999999999997</v>
      </c>
      <c r="F22" s="20">
        <f t="shared" si="3"/>
        <v>24.577999999999999</v>
      </c>
      <c r="G22" s="20">
        <f t="shared" si="3"/>
        <v>21.315999999999974</v>
      </c>
      <c r="H22" s="20">
        <f t="shared" si="3"/>
        <v>30.452000000000002</v>
      </c>
      <c r="I22" s="20">
        <f t="shared" si="3"/>
        <v>28.99499999999999</v>
      </c>
      <c r="J22" s="20">
        <f t="shared" si="3"/>
        <v>33.594999999999999</v>
      </c>
      <c r="K22" s="20">
        <f t="shared" si="3"/>
        <v>0</v>
      </c>
    </row>
    <row r="23" spans="1:11" s="22" customFormat="1" x14ac:dyDescent="0.2">
      <c r="B23" s="20"/>
      <c r="C23" s="20"/>
      <c r="D23" s="20"/>
      <c r="E23" s="20"/>
      <c r="F23" s="20"/>
      <c r="G23" s="20"/>
      <c r="H23" s="20"/>
      <c r="I23" s="20"/>
      <c r="J23" s="20"/>
      <c r="K23" s="20"/>
    </row>
    <row r="24" spans="1:11" s="22" customFormat="1" x14ac:dyDescent="0.2">
      <c r="A24" s="22" t="s">
        <v>27</v>
      </c>
      <c r="B24" s="20"/>
      <c r="C24" s="20"/>
      <c r="D24" s="20"/>
      <c r="E24" s="20"/>
      <c r="F24" s="20"/>
      <c r="G24" s="20"/>
      <c r="H24" s="20"/>
      <c r="I24" s="20"/>
      <c r="J24" s="20"/>
      <c r="K24" s="20"/>
    </row>
    <row r="25" spans="1:11" s="23" customFormat="1" x14ac:dyDescent="0.2">
      <c r="A25" s="15" t="s">
        <v>26</v>
      </c>
      <c r="B25" s="27"/>
      <c r="C25" s="27"/>
      <c r="D25" s="27"/>
      <c r="E25" s="27"/>
      <c r="F25" s="27"/>
      <c r="G25" s="27"/>
      <c r="H25" s="27"/>
      <c r="I25" s="27"/>
      <c r="J25" s="27"/>
      <c r="K25" s="27"/>
    </row>
    <row r="26" spans="1:11" s="23" customFormat="1" x14ac:dyDescent="0.2">
      <c r="A26" s="15" t="s">
        <v>25</v>
      </c>
      <c r="B26" s="21"/>
      <c r="C26" s="21"/>
      <c r="D26" s="21"/>
      <c r="E26" s="21"/>
      <c r="F26" s="21"/>
      <c r="G26" s="21"/>
      <c r="H26" s="21"/>
      <c r="I26" s="26"/>
      <c r="J26" s="26"/>
      <c r="K26" s="26"/>
    </row>
    <row r="27" spans="1:11" s="24" customFormat="1" x14ac:dyDescent="0.2">
      <c r="A27" s="22" t="s">
        <v>24</v>
      </c>
      <c r="B27" s="20"/>
      <c r="C27" s="20"/>
      <c r="D27" s="20"/>
      <c r="E27" s="20"/>
      <c r="F27" s="20"/>
      <c r="G27" s="20"/>
      <c r="H27" s="20"/>
      <c r="I27" s="25"/>
      <c r="J27" s="25"/>
      <c r="K27" s="25"/>
    </row>
    <row r="28" spans="1:11" s="23" customFormat="1" x14ac:dyDescent="0.2"/>
    <row r="29" spans="1:11" s="22" customFormat="1" x14ac:dyDescent="0.2">
      <c r="A29" s="22" t="s">
        <v>23</v>
      </c>
      <c r="B29" s="20">
        <f t="shared" ref="B29" si="4">B22</f>
        <v>22.771000000000001</v>
      </c>
      <c r="C29" s="74"/>
      <c r="D29" s="20">
        <f t="shared" ref="D29:F29" si="5">D22</f>
        <v>34.805999999999983</v>
      </c>
      <c r="E29" s="20">
        <f t="shared" si="5"/>
        <v>35.427999999999997</v>
      </c>
      <c r="F29" s="20">
        <f t="shared" si="5"/>
        <v>24.577999999999999</v>
      </c>
      <c r="G29" s="20"/>
      <c r="H29" s="20"/>
      <c r="I29" s="20"/>
      <c r="J29" s="20"/>
      <c r="K29" s="20"/>
    </row>
    <row r="30" spans="1:11" s="11" customFormat="1" x14ac:dyDescent="0.2">
      <c r="A30" s="19" t="s">
        <v>22</v>
      </c>
      <c r="B30" s="19">
        <f>-14.863+3.19</f>
        <v>-11.673</v>
      </c>
      <c r="C30" s="19">
        <f>-5.682-D30-E30-F30</f>
        <v>-0.89100000000000001</v>
      </c>
      <c r="D30" s="19">
        <v>-1.738</v>
      </c>
      <c r="E30" s="19">
        <v>-1.4070000000000003</v>
      </c>
      <c r="F30" s="19">
        <f>-1.917+0.271</f>
        <v>-1.6459999999999999</v>
      </c>
      <c r="G30" s="19"/>
      <c r="H30" s="19"/>
      <c r="I30" s="19"/>
      <c r="J30" s="19"/>
      <c r="K30" s="19"/>
    </row>
    <row r="31" spans="1:11" s="11" customFormat="1" x14ac:dyDescent="0.2">
      <c r="A31" s="19" t="s">
        <v>21</v>
      </c>
      <c r="B31" s="19">
        <v>0</v>
      </c>
      <c r="C31" s="19">
        <v>0</v>
      </c>
      <c r="D31" s="19">
        <v>0</v>
      </c>
      <c r="E31" s="19">
        <v>0</v>
      </c>
      <c r="F31" s="19">
        <v>0</v>
      </c>
      <c r="G31" s="19"/>
      <c r="H31" s="19"/>
      <c r="I31" s="19"/>
      <c r="J31" s="19"/>
      <c r="K31" s="19"/>
    </row>
    <row r="32" spans="1:11" s="11" customFormat="1" x14ac:dyDescent="0.2">
      <c r="A32" s="19" t="s">
        <v>20</v>
      </c>
      <c r="B32" s="19">
        <f>2.007-0.068-0.957+2.805-0.024+0.016-1.471-3.717-3.143-0.325-0.948</f>
        <v>-5.8249999999999993</v>
      </c>
      <c r="C32" s="19">
        <f>-1.939-0.047+0.977+2.553+0.025-0.017-0.506+5.994+2.11-1.403+3.108-D32-E32-F32</f>
        <v>12.347000000000001</v>
      </c>
      <c r="D32" s="19">
        <v>1.9039999999999999</v>
      </c>
      <c r="E32" s="19">
        <v>4.8319999999999999</v>
      </c>
      <c r="F32" s="19">
        <v>-8.2279999999999998</v>
      </c>
      <c r="G32" s="19"/>
      <c r="H32" s="19"/>
      <c r="I32" s="19"/>
      <c r="J32" s="19"/>
      <c r="K32" s="19"/>
    </row>
    <row r="33" spans="1:11" s="11" customFormat="1" x14ac:dyDescent="0.2">
      <c r="A33" s="19" t="s">
        <v>19</v>
      </c>
      <c r="B33" s="19">
        <v>0</v>
      </c>
      <c r="C33" s="19">
        <v>0</v>
      </c>
      <c r="D33" s="19">
        <v>0</v>
      </c>
      <c r="E33" s="19">
        <v>0</v>
      </c>
      <c r="F33" s="19">
        <v>0</v>
      </c>
      <c r="G33" s="19"/>
      <c r="H33" s="19"/>
      <c r="I33" s="19"/>
      <c r="J33" s="19"/>
      <c r="K33" s="19"/>
    </row>
    <row r="34" spans="1:11" s="11" customFormat="1" x14ac:dyDescent="0.2">
      <c r="A34" s="19" t="s">
        <v>18</v>
      </c>
      <c r="B34" s="21">
        <v>0</v>
      </c>
      <c r="C34" s="21">
        <v>0</v>
      </c>
      <c r="D34" s="21">
        <v>0</v>
      </c>
      <c r="E34" s="21">
        <v>0</v>
      </c>
      <c r="F34" s="21">
        <v>0</v>
      </c>
      <c r="G34" s="21"/>
      <c r="H34" s="21"/>
      <c r="I34" s="21"/>
      <c r="J34" s="21"/>
      <c r="K34" s="21"/>
    </row>
    <row r="35" spans="1:11" s="20" customFormat="1" x14ac:dyDescent="0.2">
      <c r="A35" s="20" t="s">
        <v>17</v>
      </c>
      <c r="B35" s="20">
        <v>4.68</v>
      </c>
      <c r="C35" s="20">
        <f>82.41-D35-E35-F35</f>
        <v>-8.1530000000000058</v>
      </c>
      <c r="D35" s="20">
        <v>33.941000000000003</v>
      </c>
      <c r="E35" s="20">
        <v>40.265000000000001</v>
      </c>
      <c r="F35" s="20">
        <v>16.356999999999999</v>
      </c>
    </row>
    <row r="36" spans="1:11" s="11" customFormat="1" x14ac:dyDescent="0.2">
      <c r="A36" s="19" t="s">
        <v>16</v>
      </c>
      <c r="B36" s="21">
        <v>-0.57699999999999996</v>
      </c>
      <c r="C36" s="21">
        <f>-3.513-D36-E36-F36</f>
        <v>-1.5280000000000005</v>
      </c>
      <c r="D36" s="21">
        <v>5.300000000000038E-2</v>
      </c>
      <c r="E36" s="21">
        <v>-0.75900000000000012</v>
      </c>
      <c r="F36" s="21">
        <v>-1.2789999999999999</v>
      </c>
      <c r="G36" s="21"/>
      <c r="H36" s="21"/>
      <c r="I36" s="21"/>
      <c r="J36" s="21"/>
      <c r="K36" s="21"/>
    </row>
    <row r="37" spans="1:11" s="20" customFormat="1" x14ac:dyDescent="0.2">
      <c r="A37" s="20" t="s">
        <v>15</v>
      </c>
      <c r="B37" s="20">
        <f>+B35+B36</f>
        <v>4.1029999999999998</v>
      </c>
      <c r="C37" s="20">
        <f>+C35+C36</f>
        <v>-9.6810000000000063</v>
      </c>
      <c r="D37" s="20">
        <f>+D35+D36</f>
        <v>33.994</v>
      </c>
      <c r="E37" s="20">
        <f t="shared" ref="E37:F37" si="6">+E35+E36</f>
        <v>39.506</v>
      </c>
      <c r="F37" s="20">
        <f t="shared" si="6"/>
        <v>15.077999999999999</v>
      </c>
    </row>
    <row r="39" spans="1:11" s="16" customFormat="1" x14ac:dyDescent="0.2">
      <c r="A39" s="18" t="s">
        <v>14</v>
      </c>
      <c r="B39" s="19">
        <v>0</v>
      </c>
      <c r="C39" s="19">
        <v>0</v>
      </c>
      <c r="D39" s="19">
        <v>0</v>
      </c>
      <c r="E39" s="19"/>
      <c r="F39" s="19"/>
      <c r="G39" s="19"/>
      <c r="H39" s="19"/>
      <c r="I39" s="19"/>
      <c r="J39" s="19"/>
      <c r="K39" s="19"/>
    </row>
    <row r="40" spans="1:11" s="16" customFormat="1" x14ac:dyDescent="0.2">
      <c r="A40" s="18" t="s">
        <v>13</v>
      </c>
      <c r="B40" s="19">
        <v>625</v>
      </c>
      <c r="C40" s="19">
        <v>625</v>
      </c>
      <c r="D40" s="19">
        <v>625</v>
      </c>
      <c r="E40" s="19"/>
      <c r="F40" s="19"/>
      <c r="G40" s="19"/>
      <c r="H40" s="19"/>
      <c r="I40" s="19"/>
      <c r="J40" s="19"/>
      <c r="K40" s="19"/>
    </row>
    <row r="41" spans="1:11" s="16" customFormat="1" x14ac:dyDescent="0.2">
      <c r="A41" s="18" t="s">
        <v>12</v>
      </c>
      <c r="B41" s="19">
        <f>B39+B40+250</f>
        <v>875</v>
      </c>
      <c r="C41" s="19">
        <f>C39+C40+250</f>
        <v>875</v>
      </c>
      <c r="D41" s="19">
        <f>D39+D40+250</f>
        <v>875</v>
      </c>
      <c r="E41" s="19"/>
      <c r="F41" s="19"/>
      <c r="G41" s="19"/>
      <c r="H41" s="19"/>
      <c r="I41" s="19"/>
      <c r="J41" s="19"/>
      <c r="K41" s="19"/>
    </row>
    <row r="42" spans="1:11" s="16" customFormat="1" x14ac:dyDescent="0.2">
      <c r="A42" s="18" t="s">
        <v>11</v>
      </c>
      <c r="B42" s="17">
        <v>1351</v>
      </c>
      <c r="C42" s="17">
        <v>1351</v>
      </c>
      <c r="D42" s="17">
        <v>1351</v>
      </c>
      <c r="E42" s="17"/>
      <c r="F42" s="17"/>
      <c r="G42" s="17"/>
      <c r="H42" s="17"/>
      <c r="I42" s="17"/>
      <c r="J42" s="17"/>
      <c r="K42" s="17"/>
    </row>
    <row r="43" spans="1:11" x14ac:dyDescent="0.2">
      <c r="B43" s="16"/>
      <c r="C43" s="16"/>
      <c r="D43" s="16"/>
      <c r="E43" s="16"/>
      <c r="F43" s="16"/>
    </row>
    <row r="44" spans="1:11" x14ac:dyDescent="0.2">
      <c r="A44" s="15" t="s">
        <v>10</v>
      </c>
      <c r="B44" s="27">
        <v>27.614000000000001</v>
      </c>
      <c r="C44" s="27">
        <v>5</v>
      </c>
      <c r="D44" s="27">
        <v>5</v>
      </c>
      <c r="E44" s="27"/>
      <c r="F44" s="27"/>
      <c r="G44" s="27"/>
      <c r="H44" s="27"/>
      <c r="I44" s="27"/>
      <c r="J44" s="14"/>
      <c r="K44" s="14"/>
    </row>
    <row r="46" spans="1:11" x14ac:dyDescent="0.2">
      <c r="A46" s="1" t="s">
        <v>9</v>
      </c>
      <c r="B46" s="13">
        <f>SUM(B12:E12)</f>
        <v>474.98</v>
      </c>
      <c r="C46" s="13">
        <f>SUM(C12:F12)</f>
        <v>453.5</v>
      </c>
      <c r="D46" s="13">
        <f>SUM(D12:G12)</f>
        <v>436.31199999999995</v>
      </c>
      <c r="E46" s="11"/>
      <c r="F46" s="11"/>
      <c r="G46" s="11"/>
      <c r="H46" s="11"/>
    </row>
    <row r="47" spans="1:11" x14ac:dyDescent="0.2">
      <c r="A47" s="1" t="s">
        <v>8</v>
      </c>
      <c r="B47" s="12">
        <f>C47+B22-F22</f>
        <v>123.19300000000001</v>
      </c>
      <c r="C47" s="12">
        <v>125</v>
      </c>
      <c r="D47" s="12">
        <v>125</v>
      </c>
      <c r="E47" s="11"/>
      <c r="F47" s="11"/>
      <c r="G47" s="11"/>
      <c r="H47" s="11"/>
    </row>
    <row r="48" spans="1:11" x14ac:dyDescent="0.2">
      <c r="A48" s="1" t="s">
        <v>7</v>
      </c>
      <c r="B48" s="13">
        <f>SUM(B37:E37)</f>
        <v>67.921999999999997</v>
      </c>
      <c r="C48" s="13">
        <f>SUM(C37:F37)</f>
        <v>78.896999999999991</v>
      </c>
      <c r="D48" s="12">
        <v>30.662499999999994</v>
      </c>
      <c r="E48" s="11"/>
      <c r="F48" s="11"/>
      <c r="G48" s="11"/>
      <c r="H48" s="11"/>
    </row>
    <row r="50" spans="1:11" s="10" customFormat="1" x14ac:dyDescent="0.2">
      <c r="A50" s="10" t="s">
        <v>6</v>
      </c>
      <c r="B50" s="10">
        <f>+SUM(B39:B40)/B47</f>
        <v>5.0733402060181989</v>
      </c>
      <c r="C50" s="10">
        <f>+SUM(C39:C40)/C47</f>
        <v>5</v>
      </c>
      <c r="D50" s="10">
        <f>+SUM(D39:D40)/D47</f>
        <v>5</v>
      </c>
    </row>
    <row r="51" spans="1:11" s="10" customFormat="1" x14ac:dyDescent="0.2">
      <c r="A51" s="10" t="s">
        <v>5</v>
      </c>
      <c r="B51" s="10">
        <f>+B41/B47</f>
        <v>7.1026762884254779</v>
      </c>
      <c r="C51" s="10">
        <f>+C41/C47</f>
        <v>7</v>
      </c>
      <c r="D51" s="10">
        <f>+D41/D47</f>
        <v>7</v>
      </c>
    </row>
    <row r="52" spans="1:11" s="10" customFormat="1" x14ac:dyDescent="0.2">
      <c r="A52" s="10" t="s">
        <v>4</v>
      </c>
      <c r="B52" s="10">
        <f>+(B41-B44)/B47</f>
        <v>6.8785239421070994</v>
      </c>
      <c r="C52" s="10">
        <f>+(C41-C44)/C47</f>
        <v>6.96</v>
      </c>
      <c r="D52" s="10">
        <f>+(D41-D44)/D47</f>
        <v>6.96</v>
      </c>
    </row>
    <row r="53" spans="1:11" s="6" customFormat="1" x14ac:dyDescent="0.2">
      <c r="A53" s="6" t="s">
        <v>3</v>
      </c>
      <c r="B53" s="6">
        <f>+B48/B41</f>
        <v>7.7625142857142851E-2</v>
      </c>
      <c r="C53" s="6">
        <f>+C48/C41</f>
        <v>9.0167999999999984E-2</v>
      </c>
      <c r="D53" s="6">
        <f>+D48/D41</f>
        <v>3.5042857142857139E-2</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17.845056131436039</v>
      </c>
      <c r="C55" s="7">
        <f>IF(C42=0,IF(C54="","","*"&amp;TEXT(C54,"0.0x")),(C41+C42-C44)/C47)</f>
        <v>17.768000000000001</v>
      </c>
      <c r="D55" s="7">
        <f>IF(D42=0,IF(D54="","","*"&amp;TEXT(D54,"0.0x")),(D41+D42-D44)/D47)</f>
        <v>17.768000000000001</v>
      </c>
      <c r="E55" s="7"/>
      <c r="F55" s="7"/>
      <c r="G55" s="7"/>
      <c r="H55" s="7"/>
      <c r="I55" s="7"/>
      <c r="J55" s="7" t="str">
        <f t="shared" ref="J55:K55" si="7">IF(J42=0,IF(J54="","",CONCATENATE("* ",J54,"x")),(J41+J42-J44)/J47)</f>
        <v/>
      </c>
      <c r="K55" s="7" t="str">
        <f t="shared" si="7"/>
        <v/>
      </c>
    </row>
    <row r="56" spans="1:11" x14ac:dyDescent="0.2">
      <c r="H56" s="3"/>
    </row>
    <row r="57" spans="1:11" ht="80.25" customHeight="1" x14ac:dyDescent="0.2">
      <c r="A57" s="5" t="s">
        <v>0</v>
      </c>
      <c r="B57" s="4" t="s">
        <v>235</v>
      </c>
      <c r="C57" s="4" t="s">
        <v>235</v>
      </c>
      <c r="D57" s="4" t="s">
        <v>651</v>
      </c>
      <c r="E57" s="4"/>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legacy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3294E-6349-4398-96FE-F5D5582B5CEA}">
  <dimension ref="A2:K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554</v>
      </c>
    </row>
    <row r="3" spans="1:11" s="35" customFormat="1" x14ac:dyDescent="0.2">
      <c r="A3" s="36" t="s">
        <v>43</v>
      </c>
      <c r="B3" s="35" t="s">
        <v>555</v>
      </c>
    </row>
    <row r="4" spans="1:11" x14ac:dyDescent="0.2">
      <c r="A4" s="34" t="s">
        <v>41</v>
      </c>
      <c r="B4" s="1" t="s">
        <v>40</v>
      </c>
    </row>
    <row r="5" spans="1:11" x14ac:dyDescent="0.2">
      <c r="A5" s="34" t="s">
        <v>39</v>
      </c>
    </row>
    <row r="6" spans="1:11" x14ac:dyDescent="0.2">
      <c r="A6" s="34" t="s">
        <v>38</v>
      </c>
      <c r="B6" s="1">
        <v>3</v>
      </c>
    </row>
    <row r="7" spans="1:11" x14ac:dyDescent="0.2">
      <c r="A7" s="34" t="s">
        <v>37</v>
      </c>
      <c r="B7" s="1" t="s">
        <v>394</v>
      </c>
    </row>
    <row r="8" spans="1:11" x14ac:dyDescent="0.2">
      <c r="A8" s="34" t="s">
        <v>281</v>
      </c>
      <c r="B8" s="1" t="s">
        <v>556</v>
      </c>
    </row>
    <row r="9" spans="1:11" x14ac:dyDescent="0.2">
      <c r="A9" s="22"/>
    </row>
    <row r="10" spans="1:11" x14ac:dyDescent="0.2">
      <c r="A10" s="22" t="s">
        <v>36</v>
      </c>
      <c r="B10" s="33">
        <v>44377</v>
      </c>
      <c r="C10" s="33">
        <v>44286</v>
      </c>
      <c r="D10" s="33">
        <f>EOMONTH(C10,-3)</f>
        <v>44196</v>
      </c>
      <c r="E10" s="33">
        <f>EOMONTH(D10,-3)</f>
        <v>44104</v>
      </c>
      <c r="F10" s="33">
        <f t="shared" ref="F10:K10" si="0">EOMONTH(E10,-3)</f>
        <v>44012</v>
      </c>
      <c r="G10" s="33">
        <f t="shared" si="0"/>
        <v>43921</v>
      </c>
      <c r="H10" s="33">
        <f t="shared" si="0"/>
        <v>43830</v>
      </c>
      <c r="I10" s="33">
        <f t="shared" si="0"/>
        <v>43738</v>
      </c>
      <c r="J10" s="33">
        <f t="shared" si="0"/>
        <v>43646</v>
      </c>
      <c r="K10" s="33">
        <f t="shared" si="0"/>
        <v>43555</v>
      </c>
    </row>
    <row r="12" spans="1:11" x14ac:dyDescent="0.2">
      <c r="A12" s="15" t="s">
        <v>35</v>
      </c>
      <c r="B12" s="19">
        <v>40.643000000000001</v>
      </c>
      <c r="C12" s="19">
        <v>39.023000000000003</v>
      </c>
      <c r="D12" s="19">
        <v>45.759</v>
      </c>
      <c r="E12" s="19">
        <v>37.182000000000002</v>
      </c>
      <c r="F12" s="19">
        <v>42.392000000000003</v>
      </c>
      <c r="G12" s="19">
        <v>28.044</v>
      </c>
      <c r="H12" s="19">
        <v>33.581999999999979</v>
      </c>
      <c r="I12" s="19">
        <v>24.507000000000001</v>
      </c>
      <c r="J12" s="19">
        <v>25.672000000000001</v>
      </c>
      <c r="K12" s="19">
        <v>23.082000000000001</v>
      </c>
    </row>
    <row r="13" spans="1:11" s="28" customFormat="1" x14ac:dyDescent="0.2">
      <c r="A13" s="28" t="s">
        <v>34</v>
      </c>
      <c r="B13" s="28">
        <f>+B12/F12-1</f>
        <v>-4.1257784487639282E-2</v>
      </c>
      <c r="C13" s="28">
        <f>+C12/G12-1</f>
        <v>0.39149194123520181</v>
      </c>
      <c r="D13" s="28">
        <f>+D12/H12-1</f>
        <v>0.3626049669465794</v>
      </c>
      <c r="E13" s="28">
        <f t="shared" ref="E13:G13" si="1">+E12/I12-1</f>
        <v>0.5171991675847718</v>
      </c>
      <c r="F13" s="28">
        <f t="shared" si="1"/>
        <v>0.65129323776877546</v>
      </c>
      <c r="G13" s="28">
        <f t="shared" si="1"/>
        <v>0.21497270600467888</v>
      </c>
    </row>
    <row r="14" spans="1:11" s="23" customFormat="1" x14ac:dyDescent="0.2">
      <c r="A14" s="31" t="s">
        <v>33</v>
      </c>
      <c r="B14" s="32" t="s">
        <v>32</v>
      </c>
      <c r="C14" s="32" t="s">
        <v>32</v>
      </c>
      <c r="D14" s="32" t="s">
        <v>32</v>
      </c>
      <c r="E14" s="32" t="s">
        <v>32</v>
      </c>
      <c r="F14" s="32" t="s">
        <v>32</v>
      </c>
      <c r="G14" s="32" t="s">
        <v>32</v>
      </c>
      <c r="H14" s="31"/>
      <c r="I14" s="31"/>
      <c r="J14" s="31"/>
      <c r="K14" s="31"/>
    </row>
    <row r="16" spans="1:11" s="22" customFormat="1" x14ac:dyDescent="0.2">
      <c r="A16" s="30" t="s">
        <v>31</v>
      </c>
      <c r="B16" s="29">
        <v>24.375</v>
      </c>
      <c r="C16" s="29">
        <v>24.427</v>
      </c>
      <c r="D16" s="29">
        <v>33.684000000000005</v>
      </c>
      <c r="E16" s="29">
        <v>24.419</v>
      </c>
      <c r="F16" s="29">
        <v>29.266999999999999</v>
      </c>
      <c r="G16" s="29">
        <v>14.032999999999999</v>
      </c>
      <c r="H16" s="29">
        <v>102.41499999999999</v>
      </c>
      <c r="I16" s="29">
        <v>13.713000000000001</v>
      </c>
      <c r="J16" s="29">
        <v>14.908000000000001</v>
      </c>
      <c r="K16" s="29">
        <v>11.635999999999999</v>
      </c>
    </row>
    <row r="17" spans="1:11" s="28" customFormat="1" x14ac:dyDescent="0.2">
      <c r="A17" s="28" t="s">
        <v>30</v>
      </c>
      <c r="B17" s="28">
        <f>+B16/B12</f>
        <v>0.59973427158428261</v>
      </c>
      <c r="C17" s="28">
        <f>+C16/C12</f>
        <v>0.62596417497373336</v>
      </c>
      <c r="D17" s="28">
        <f>+D16/D12</f>
        <v>0.73611748508490138</v>
      </c>
      <c r="E17" s="28">
        <f t="shared" ref="E17:K17" si="2">+E16/E12</f>
        <v>0.65674250981657789</v>
      </c>
      <c r="F17" s="28">
        <f t="shared" si="2"/>
        <v>0.69038969616908841</v>
      </c>
      <c r="G17" s="28">
        <f t="shared" si="2"/>
        <v>0.50039224076451283</v>
      </c>
      <c r="H17" s="28">
        <f t="shared" si="2"/>
        <v>3.0496992436424293</v>
      </c>
      <c r="I17" s="28">
        <f t="shared" si="2"/>
        <v>0.55955441302485009</v>
      </c>
      <c r="J17" s="28">
        <f t="shared" si="2"/>
        <v>0.58071050171392957</v>
      </c>
      <c r="K17" s="28">
        <f t="shared" si="2"/>
        <v>0.50411576119920276</v>
      </c>
    </row>
    <row r="18" spans="1:11" s="23" customFormat="1" x14ac:dyDescent="0.2"/>
    <row r="19" spans="1:11" s="23" customFormat="1" x14ac:dyDescent="0.2">
      <c r="A19" s="15" t="s">
        <v>29</v>
      </c>
      <c r="B19" s="19">
        <v>0</v>
      </c>
      <c r="C19" s="19">
        <v>0</v>
      </c>
      <c r="D19" s="19">
        <v>0</v>
      </c>
      <c r="E19" s="19">
        <v>0</v>
      </c>
      <c r="F19" s="19">
        <v>0</v>
      </c>
      <c r="G19" s="19">
        <v>0</v>
      </c>
      <c r="H19" s="19">
        <v>0</v>
      </c>
      <c r="I19" s="19">
        <v>0</v>
      </c>
      <c r="J19" s="19">
        <v>0</v>
      </c>
      <c r="K19" s="19">
        <v>0</v>
      </c>
    </row>
    <row r="20" spans="1:11" s="23" customFormat="1" x14ac:dyDescent="0.2">
      <c r="A20" s="15" t="s">
        <v>28</v>
      </c>
      <c r="B20" s="19">
        <v>0</v>
      </c>
      <c r="C20" s="19">
        <v>0</v>
      </c>
      <c r="D20" s="19">
        <v>0</v>
      </c>
      <c r="E20" s="19">
        <v>0</v>
      </c>
      <c r="F20" s="19">
        <v>0</v>
      </c>
      <c r="G20" s="19">
        <v>0</v>
      </c>
      <c r="H20" s="19">
        <v>0</v>
      </c>
      <c r="I20" s="19">
        <v>0</v>
      </c>
      <c r="J20" s="19">
        <v>0</v>
      </c>
      <c r="K20" s="19">
        <v>0</v>
      </c>
    </row>
    <row r="21" spans="1:11" s="23" customFormat="1" x14ac:dyDescent="0.2">
      <c r="A21" s="15" t="s">
        <v>18</v>
      </c>
      <c r="B21" s="19">
        <v>0</v>
      </c>
      <c r="C21" s="19">
        <v>0</v>
      </c>
      <c r="D21" s="19">
        <v>0</v>
      </c>
      <c r="E21" s="19">
        <v>0</v>
      </c>
      <c r="F21" s="19">
        <v>0</v>
      </c>
      <c r="G21" s="19">
        <v>0</v>
      </c>
      <c r="H21" s="19">
        <v>0</v>
      </c>
      <c r="I21" s="19">
        <v>0</v>
      </c>
      <c r="J21" s="19">
        <v>0</v>
      </c>
      <c r="K21" s="19">
        <v>0</v>
      </c>
    </row>
    <row r="22" spans="1:11" s="22" customFormat="1" x14ac:dyDescent="0.2">
      <c r="A22" s="22" t="s">
        <v>23</v>
      </c>
      <c r="B22" s="20">
        <f>SUM(B16,B19:B21)</f>
        <v>24.375</v>
      </c>
      <c r="C22" s="20">
        <f>SUM(C16,C19:C21)</f>
        <v>24.427</v>
      </c>
      <c r="D22" s="20">
        <f>SUM(D16,D19:D21)</f>
        <v>33.684000000000005</v>
      </c>
      <c r="E22" s="20">
        <f t="shared" ref="E22:K22" si="3">SUM(E16,E19:E21)</f>
        <v>24.419</v>
      </c>
      <c r="F22" s="20">
        <f t="shared" si="3"/>
        <v>29.266999999999999</v>
      </c>
      <c r="G22" s="20">
        <f t="shared" si="3"/>
        <v>14.032999999999999</v>
      </c>
      <c r="H22" s="20">
        <f t="shared" si="3"/>
        <v>102.41499999999999</v>
      </c>
      <c r="I22" s="20">
        <f t="shared" si="3"/>
        <v>13.713000000000001</v>
      </c>
      <c r="J22" s="20">
        <f t="shared" si="3"/>
        <v>14.908000000000001</v>
      </c>
      <c r="K22" s="20">
        <f t="shared" si="3"/>
        <v>11.635999999999999</v>
      </c>
    </row>
    <row r="23" spans="1:11" s="22" customFormat="1" x14ac:dyDescent="0.2">
      <c r="B23" s="20"/>
      <c r="C23" s="20"/>
      <c r="D23" s="20"/>
      <c r="E23" s="20"/>
      <c r="F23" s="20"/>
      <c r="G23" s="20"/>
      <c r="H23" s="20"/>
      <c r="I23" s="20"/>
      <c r="J23" s="20"/>
      <c r="K23" s="20"/>
    </row>
    <row r="24" spans="1:11" s="22" customFormat="1" x14ac:dyDescent="0.2">
      <c r="A24" s="22" t="s">
        <v>27</v>
      </c>
      <c r="B24" s="20">
        <f>SUM(B22:E22)</f>
        <v>106.905</v>
      </c>
      <c r="C24" s="20">
        <f>SUM(C22:F22)</f>
        <v>111.797</v>
      </c>
      <c r="D24" s="20">
        <f>SUM(D22:G22)</f>
        <v>101.40300000000001</v>
      </c>
      <c r="E24" s="20"/>
      <c r="F24" s="20"/>
      <c r="G24" s="20"/>
      <c r="H24" s="20"/>
      <c r="I24" s="20"/>
      <c r="J24" s="20"/>
      <c r="K24" s="20"/>
    </row>
    <row r="25" spans="1:11" s="23" customFormat="1" x14ac:dyDescent="0.2">
      <c r="A25" s="15" t="s">
        <v>26</v>
      </c>
      <c r="B25" s="27">
        <f>106.905-B24</f>
        <v>0</v>
      </c>
      <c r="C25" s="27">
        <f>110.9-C24</f>
        <v>-0.89699999999999136</v>
      </c>
      <c r="D25" s="27">
        <v>0</v>
      </c>
      <c r="E25" s="27"/>
      <c r="F25" s="27"/>
      <c r="G25" s="27"/>
      <c r="H25" s="27"/>
      <c r="I25" s="27"/>
      <c r="J25" s="27"/>
      <c r="K25" s="27"/>
    </row>
    <row r="26" spans="1:11" s="23" customFormat="1" x14ac:dyDescent="0.2">
      <c r="A26" s="15" t="s">
        <v>25</v>
      </c>
      <c r="B26" s="21">
        <v>0</v>
      </c>
      <c r="C26" s="21">
        <v>0</v>
      </c>
      <c r="D26" s="21">
        <v>0</v>
      </c>
      <c r="E26" s="21"/>
      <c r="F26" s="21"/>
      <c r="G26" s="21"/>
      <c r="H26" s="21"/>
      <c r="I26" s="26"/>
      <c r="J26" s="26"/>
      <c r="K26" s="26"/>
    </row>
    <row r="27" spans="1:11" s="24" customFormat="1" x14ac:dyDescent="0.2">
      <c r="A27" s="22" t="s">
        <v>24</v>
      </c>
      <c r="B27" s="20">
        <f>SUM(B24:B26)</f>
        <v>106.905</v>
      </c>
      <c r="C27" s="20">
        <f>SUM(C24:C26)</f>
        <v>110.9</v>
      </c>
      <c r="D27" s="20">
        <f>SUM(D24:D26)</f>
        <v>101.40300000000001</v>
      </c>
      <c r="E27" s="20"/>
      <c r="F27" s="20"/>
      <c r="G27" s="20"/>
      <c r="H27" s="20"/>
      <c r="I27" s="25"/>
      <c r="J27" s="25"/>
      <c r="K27" s="25"/>
    </row>
    <row r="28" spans="1:11" s="23" customFormat="1" x14ac:dyDescent="0.2"/>
    <row r="29" spans="1:11" s="22" customFormat="1" x14ac:dyDescent="0.2">
      <c r="A29" s="22" t="s">
        <v>23</v>
      </c>
      <c r="B29" s="20">
        <f t="shared" ref="B29:C29" si="4">B22</f>
        <v>24.375</v>
      </c>
      <c r="C29" s="20">
        <f t="shared" si="4"/>
        <v>24.427</v>
      </c>
      <c r="D29" s="20">
        <f t="shared" ref="D29:K29" si="5">D22</f>
        <v>33.684000000000005</v>
      </c>
      <c r="E29" s="20">
        <f t="shared" si="5"/>
        <v>24.419</v>
      </c>
      <c r="F29" s="20">
        <f t="shared" si="5"/>
        <v>29.266999999999999</v>
      </c>
      <c r="G29" s="20">
        <f t="shared" si="5"/>
        <v>14.032999999999999</v>
      </c>
      <c r="H29" s="20">
        <f t="shared" si="5"/>
        <v>102.41499999999999</v>
      </c>
      <c r="I29" s="20">
        <f t="shared" si="5"/>
        <v>13.713000000000001</v>
      </c>
      <c r="J29" s="20">
        <f t="shared" si="5"/>
        <v>14.908000000000001</v>
      </c>
      <c r="K29" s="20">
        <f t="shared" si="5"/>
        <v>11.635999999999999</v>
      </c>
    </row>
    <row r="30" spans="1:11" s="11" customFormat="1" x14ac:dyDescent="0.2">
      <c r="A30" s="19" t="s">
        <v>22</v>
      </c>
      <c r="B30" s="19">
        <v>-10.429000000000002</v>
      </c>
      <c r="C30" s="19">
        <v>-10.7</v>
      </c>
      <c r="D30" s="19">
        <v>-5.9369999999999976</v>
      </c>
      <c r="E30" s="19">
        <v>-6.4760000000000026</v>
      </c>
      <c r="F30" s="19">
        <v>-7.9839999999999982</v>
      </c>
      <c r="G30" s="19">
        <v>-8.2210000000000001</v>
      </c>
      <c r="H30" s="19">
        <v>-8.3519999999999968</v>
      </c>
      <c r="I30" s="19">
        <v>-8.8879999999999981</v>
      </c>
      <c r="J30" s="19">
        <v>-8.679000000000002</v>
      </c>
      <c r="K30" s="19">
        <v>-8.4269999999999996</v>
      </c>
    </row>
    <row r="31" spans="1:11" s="11" customFormat="1" x14ac:dyDescent="0.2">
      <c r="A31" s="19" t="s">
        <v>21</v>
      </c>
      <c r="B31" s="19">
        <v>-4.7149999999999999</v>
      </c>
      <c r="C31" s="19">
        <v>0.23899999999999999</v>
      </c>
      <c r="D31" s="19">
        <v>-1.552</v>
      </c>
      <c r="E31" s="19">
        <v>-0.318</v>
      </c>
      <c r="F31" s="19">
        <v>0.45899999999999996</v>
      </c>
      <c r="G31" s="19">
        <v>-3.6999999999999998E-2</v>
      </c>
      <c r="H31" s="19">
        <v>-0.11600000000000005</v>
      </c>
      <c r="I31" s="19">
        <v>-0.20899999999999999</v>
      </c>
      <c r="J31" s="19">
        <v>-0.216</v>
      </c>
      <c r="K31" s="19">
        <v>8.9999999999999993E-3</v>
      </c>
    </row>
    <row r="32" spans="1:11" s="11" customFormat="1" x14ac:dyDescent="0.2">
      <c r="A32" s="19" t="s">
        <v>20</v>
      </c>
      <c r="B32" s="19">
        <v>6.197000000000001</v>
      </c>
      <c r="C32" s="19">
        <v>-7.9720000000000004</v>
      </c>
      <c r="D32" s="19">
        <v>4.6100000000000003</v>
      </c>
      <c r="E32" s="19">
        <v>8.9550000000000001</v>
      </c>
      <c r="F32" s="19">
        <v>-8.4760000000000009</v>
      </c>
      <c r="G32" s="19">
        <v>2.4060000000000001</v>
      </c>
      <c r="H32" s="19">
        <v>-6.5510000000000002</v>
      </c>
      <c r="I32" s="19">
        <v>0.87100000000000044</v>
      </c>
      <c r="J32" s="19">
        <v>-1.0180000000000007</v>
      </c>
      <c r="K32" s="19">
        <v>5.9210000000000003</v>
      </c>
    </row>
    <row r="33" spans="1:11" s="11" customFormat="1" x14ac:dyDescent="0.2">
      <c r="A33" s="19" t="s">
        <v>19</v>
      </c>
      <c r="B33" s="19">
        <v>0</v>
      </c>
      <c r="C33" s="19">
        <v>0</v>
      </c>
      <c r="D33" s="19">
        <v>0</v>
      </c>
      <c r="E33" s="19">
        <v>0</v>
      </c>
      <c r="F33" s="19">
        <v>0</v>
      </c>
      <c r="G33" s="19">
        <v>0</v>
      </c>
      <c r="H33" s="19">
        <v>0</v>
      </c>
      <c r="I33" s="19">
        <v>0</v>
      </c>
      <c r="J33" s="19">
        <v>0</v>
      </c>
      <c r="K33" s="19">
        <v>0</v>
      </c>
    </row>
    <row r="34" spans="1:11" s="11" customFormat="1" x14ac:dyDescent="0.2">
      <c r="A34" s="19" t="s">
        <v>18</v>
      </c>
      <c r="B34" s="21">
        <v>0</v>
      </c>
      <c r="C34" s="21">
        <v>0</v>
      </c>
      <c r="D34" s="21">
        <v>0</v>
      </c>
      <c r="E34" s="21">
        <v>0</v>
      </c>
      <c r="F34" s="21">
        <v>0</v>
      </c>
      <c r="G34" s="21">
        <v>0</v>
      </c>
      <c r="H34" s="21">
        <v>0</v>
      </c>
      <c r="I34" s="21">
        <v>0</v>
      </c>
      <c r="J34" s="21">
        <v>0</v>
      </c>
      <c r="K34" s="21">
        <v>0</v>
      </c>
    </row>
    <row r="35" spans="1:11" s="20" customFormat="1" x14ac:dyDescent="0.2">
      <c r="A35" s="20" t="s">
        <v>17</v>
      </c>
      <c r="B35" s="20">
        <v>13.858000000000001</v>
      </c>
      <c r="C35" s="20">
        <v>0.93300000000000005</v>
      </c>
      <c r="D35" s="20">
        <v>0.36899999999999977</v>
      </c>
      <c r="E35" s="20">
        <v>22.627000000000002</v>
      </c>
      <c r="F35" s="20">
        <v>17.564999999999998</v>
      </c>
      <c r="G35" s="20">
        <v>7.5179999999999998</v>
      </c>
      <c r="H35" s="20">
        <v>5.5940000000000012</v>
      </c>
      <c r="I35" s="20">
        <v>3.8039999999999985</v>
      </c>
      <c r="J35" s="20">
        <v>3.761000000000001</v>
      </c>
      <c r="K35" s="20">
        <v>6.6029999999999998</v>
      </c>
    </row>
    <row r="36" spans="1:11" s="11" customFormat="1" x14ac:dyDescent="0.2">
      <c r="A36" s="19" t="s">
        <v>16</v>
      </c>
      <c r="B36" s="21">
        <v>-0.92700000000000027</v>
      </c>
      <c r="C36" s="21">
        <v>-1.1279999999999999</v>
      </c>
      <c r="D36" s="21">
        <v>-1.1439999999999997</v>
      </c>
      <c r="E36" s="21">
        <v>-0.99599999999999955</v>
      </c>
      <c r="F36" s="21">
        <v>-1.7350000000000003</v>
      </c>
      <c r="G36" s="21">
        <v>-0.95600000000000007</v>
      </c>
      <c r="H36" s="21">
        <v>-1.4369999999999998</v>
      </c>
      <c r="I36" s="21">
        <v>-0.88200000000000012</v>
      </c>
      <c r="J36" s="21">
        <v>-1.3709999999999996</v>
      </c>
      <c r="K36" s="21">
        <v>-1.4420000000000002</v>
      </c>
    </row>
    <row r="37" spans="1:11" s="20" customFormat="1" x14ac:dyDescent="0.2">
      <c r="A37" s="20" t="s">
        <v>15</v>
      </c>
      <c r="B37" s="20">
        <f>+B35+B36</f>
        <v>12.931000000000001</v>
      </c>
      <c r="C37" s="20">
        <f>+C35+C36</f>
        <v>-0.19499999999999984</v>
      </c>
      <c r="D37" s="20">
        <f>+D35+D36</f>
        <v>-0.77499999999999991</v>
      </c>
      <c r="E37" s="20">
        <f t="shared" ref="E37:K37" si="6">+E35+E36</f>
        <v>21.631000000000004</v>
      </c>
      <c r="F37" s="20">
        <f t="shared" si="6"/>
        <v>15.829999999999998</v>
      </c>
      <c r="G37" s="20">
        <f t="shared" si="6"/>
        <v>6.5619999999999994</v>
      </c>
      <c r="H37" s="20">
        <f t="shared" si="6"/>
        <v>4.1570000000000018</v>
      </c>
      <c r="I37" s="20">
        <f t="shared" si="6"/>
        <v>2.9219999999999984</v>
      </c>
      <c r="J37" s="20">
        <f t="shared" si="6"/>
        <v>2.3900000000000015</v>
      </c>
      <c r="K37" s="20">
        <f t="shared" si="6"/>
        <v>5.1609999999999996</v>
      </c>
    </row>
    <row r="39" spans="1:11" s="16" customFormat="1" x14ac:dyDescent="0.2">
      <c r="A39" s="18" t="s">
        <v>14</v>
      </c>
      <c r="B39" s="19">
        <v>0</v>
      </c>
      <c r="C39" s="19">
        <v>0</v>
      </c>
      <c r="D39" s="19">
        <v>0</v>
      </c>
      <c r="E39" s="19">
        <v>0</v>
      </c>
      <c r="F39" s="19"/>
      <c r="G39" s="19"/>
      <c r="H39" s="19"/>
      <c r="I39" s="19"/>
      <c r="J39" s="19"/>
      <c r="K39" s="19"/>
    </row>
    <row r="40" spans="1:11" s="16" customFormat="1" x14ac:dyDescent="0.2">
      <c r="A40" s="18" t="s">
        <v>13</v>
      </c>
      <c r="B40" s="19">
        <v>527.35</v>
      </c>
      <c r="C40" s="19">
        <v>528.67499999999995</v>
      </c>
      <c r="D40" s="19">
        <v>530</v>
      </c>
      <c r="E40" s="19">
        <v>530</v>
      </c>
      <c r="F40" s="19"/>
      <c r="G40" s="19"/>
      <c r="H40" s="19"/>
      <c r="I40" s="19"/>
      <c r="J40" s="19"/>
      <c r="K40" s="19"/>
    </row>
    <row r="41" spans="1:11" s="16" customFormat="1" x14ac:dyDescent="0.2">
      <c r="A41" s="18" t="s">
        <v>12</v>
      </c>
      <c r="B41" s="19">
        <f>B39+B40+210</f>
        <v>737.35</v>
      </c>
      <c r="C41" s="19">
        <f>C39+C40+210</f>
        <v>738.67499999999995</v>
      </c>
      <c r="D41" s="19">
        <f>D39+D40+210</f>
        <v>740</v>
      </c>
      <c r="E41" s="19">
        <f>E39+E40+210</f>
        <v>740</v>
      </c>
      <c r="F41" s="19"/>
      <c r="G41" s="19"/>
      <c r="H41" s="19"/>
      <c r="I41" s="19"/>
      <c r="J41" s="19"/>
      <c r="K41" s="19"/>
    </row>
    <row r="42" spans="1:11" s="16" customFormat="1" x14ac:dyDescent="0.2">
      <c r="A42" s="18" t="s">
        <v>11</v>
      </c>
      <c r="B42" s="17">
        <v>1215</v>
      </c>
      <c r="C42" s="17">
        <v>1215</v>
      </c>
      <c r="D42" s="17">
        <v>1215</v>
      </c>
      <c r="E42" s="17">
        <v>1215</v>
      </c>
      <c r="F42" s="17"/>
      <c r="G42" s="17"/>
      <c r="H42" s="17"/>
      <c r="I42" s="17"/>
      <c r="J42" s="17"/>
      <c r="K42" s="17"/>
    </row>
    <row r="43" spans="1:11" x14ac:dyDescent="0.2">
      <c r="B43" s="16"/>
      <c r="C43" s="16"/>
      <c r="D43" s="16"/>
      <c r="E43" s="16"/>
      <c r="F43" s="16"/>
    </row>
    <row r="44" spans="1:11" x14ac:dyDescent="0.2">
      <c r="A44" s="15" t="s">
        <v>10</v>
      </c>
      <c r="B44" s="27">
        <v>17.135999999999999</v>
      </c>
      <c r="C44" s="27">
        <v>5.5309999999999997</v>
      </c>
      <c r="D44" s="27">
        <v>7.05</v>
      </c>
      <c r="E44" s="27">
        <v>1</v>
      </c>
      <c r="F44" s="27"/>
      <c r="G44" s="27"/>
      <c r="H44" s="27"/>
      <c r="I44" s="27"/>
      <c r="J44" s="14"/>
      <c r="K44" s="14"/>
    </row>
    <row r="46" spans="1:11" x14ac:dyDescent="0.2">
      <c r="A46" s="1" t="s">
        <v>9</v>
      </c>
      <c r="B46" s="13">
        <f>SUM(B12:E12)</f>
        <v>162.607</v>
      </c>
      <c r="C46" s="13">
        <f>SUM(C12:F12)</f>
        <v>164.35600000000002</v>
      </c>
      <c r="D46" s="13">
        <f>SUM(D12:G12)</f>
        <v>153.37700000000001</v>
      </c>
      <c r="E46" s="13">
        <f>SUM(E12:H12)</f>
        <v>141.19999999999999</v>
      </c>
      <c r="F46" s="11"/>
      <c r="G46" s="11"/>
      <c r="H46" s="11"/>
    </row>
    <row r="47" spans="1:11" x14ac:dyDescent="0.2">
      <c r="A47" s="1" t="s">
        <v>8</v>
      </c>
      <c r="B47" s="13">
        <f>B27</f>
        <v>106.905</v>
      </c>
      <c r="C47" s="13">
        <f>C27</f>
        <v>110.9</v>
      </c>
      <c r="D47" s="13">
        <f>D27</f>
        <v>101.40300000000001</v>
      </c>
      <c r="E47" s="12">
        <v>95.100000000000009</v>
      </c>
      <c r="F47" s="11"/>
      <c r="G47" s="11"/>
      <c r="H47" s="11"/>
    </row>
    <row r="48" spans="1:11" x14ac:dyDescent="0.2">
      <c r="A48" s="1" t="s">
        <v>7</v>
      </c>
      <c r="B48" s="13">
        <f>SUM(B37:E37)</f>
        <v>33.592000000000006</v>
      </c>
      <c r="C48" s="13">
        <f>SUM(C37:F37)</f>
        <v>36.491</v>
      </c>
      <c r="D48" s="13">
        <f>SUM(D37:G37)</f>
        <v>43.248000000000005</v>
      </c>
      <c r="E48" s="12">
        <v>42.75</v>
      </c>
      <c r="F48" s="11"/>
      <c r="G48" s="11"/>
      <c r="H48" s="11"/>
    </row>
    <row r="50" spans="1:11" s="10" customFormat="1" x14ac:dyDescent="0.2">
      <c r="A50" s="10" t="s">
        <v>6</v>
      </c>
      <c r="B50" s="10">
        <f>+SUM(B39:B40)/B47</f>
        <v>4.9328843365604982</v>
      </c>
      <c r="C50" s="10">
        <f>+SUM(C39:C40)/C47</f>
        <v>4.7671325518485119</v>
      </c>
      <c r="D50" s="10">
        <f>+SUM(D39:D40)/D47</f>
        <v>5.226669822391842</v>
      </c>
      <c r="E50" s="10">
        <f>+SUM(E39:E40)/E47</f>
        <v>5.5730809674027331</v>
      </c>
    </row>
    <row r="51" spans="1:11" s="10" customFormat="1" x14ac:dyDescent="0.2">
      <c r="A51" s="10" t="s">
        <v>5</v>
      </c>
      <c r="B51" s="10">
        <f>+B41/B47</f>
        <v>6.8972452177166641</v>
      </c>
      <c r="C51" s="10">
        <f>+C41/C47</f>
        <v>6.6607303877366988</v>
      </c>
      <c r="D51" s="10">
        <f>+D41/D47</f>
        <v>7.2976144689999307</v>
      </c>
      <c r="E51" s="10">
        <f>+E41/E47</f>
        <v>7.781282860147213</v>
      </c>
    </row>
    <row r="52" spans="1:11" s="10" customFormat="1" x14ac:dyDescent="0.2">
      <c r="A52" s="10" t="s">
        <v>4</v>
      </c>
      <c r="B52" s="10">
        <f>+(B41-B44)/B47</f>
        <v>6.7369533698143211</v>
      </c>
      <c r="C52" s="10">
        <f>+(C41-C44)/C47</f>
        <v>6.6108566275924252</v>
      </c>
      <c r="D52" s="10">
        <f>+(D41-D44)/D47</f>
        <v>7.2280898987209454</v>
      </c>
      <c r="E52" s="10">
        <f>+(E41-E44)/E47</f>
        <v>7.7707676130389061</v>
      </c>
    </row>
    <row r="53" spans="1:11" s="6" customFormat="1" x14ac:dyDescent="0.2">
      <c r="A53" s="6" t="s">
        <v>3</v>
      </c>
      <c r="B53" s="6">
        <f>+B48/B41</f>
        <v>4.5557740557401513E-2</v>
      </c>
      <c r="C53" s="6">
        <f>+C48/C41</f>
        <v>4.940061596778015E-2</v>
      </c>
      <c r="D53" s="6">
        <f>+D48/D41</f>
        <v>5.8443243243243251E-2</v>
      </c>
      <c r="E53" s="6">
        <f>+E48/E41</f>
        <v>5.777027027027027E-2</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18.102184182217858</v>
      </c>
      <c r="C55" s="7">
        <f>IF(C42=0,IF(C54="","","*"&amp;TEXT(C54,"0.0x")),(C41+C42-C44)/C47)</f>
        <v>17.566672678088366</v>
      </c>
      <c r="D55" s="7">
        <f>IF(D42=0,IF(D54="","","*"&amp;TEXT(D54,"0.0x")),(D41+D42-D44)/D47)</f>
        <v>19.209983925524885</v>
      </c>
      <c r="E55" s="7">
        <f>IF(E42=0,IF(E54="","","*"&amp;TEXT(E54,"0.0x")),(E41+E42-E44)/E47)</f>
        <v>20.546792849631963</v>
      </c>
      <c r="F55" s="7"/>
      <c r="G55" s="7"/>
      <c r="H55" s="7"/>
      <c r="I55" s="7"/>
      <c r="J55" s="7" t="str">
        <f t="shared" ref="J55:K55" si="7">IF(J42=0,IF(J54="","",CONCATENATE("* ",J54,"x")),(J41+J42-J44)/J47)</f>
        <v/>
      </c>
      <c r="K55" s="7" t="str">
        <f t="shared" si="7"/>
        <v/>
      </c>
    </row>
    <row r="56" spans="1:11" x14ac:dyDescent="0.2">
      <c r="H56" s="3"/>
    </row>
    <row r="57" spans="1:11" ht="80.25" customHeight="1" x14ac:dyDescent="0.2">
      <c r="A57" s="5" t="s">
        <v>0</v>
      </c>
      <c r="B57" s="4" t="s">
        <v>104</v>
      </c>
      <c r="C57" s="4" t="s">
        <v>104</v>
      </c>
      <c r="D57" s="4" t="s">
        <v>104</v>
      </c>
      <c r="E57" s="4" t="s">
        <v>104</v>
      </c>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B319-C833-48E6-942B-3313DEDADBA1}">
  <dimension ref="A2:G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7" width="10.7109375" style="1" customWidth="1"/>
    <col min="8" max="16384" width="9.140625" style="1"/>
  </cols>
  <sheetData>
    <row r="2" spans="1:7" x14ac:dyDescent="0.2">
      <c r="A2" s="34" t="s">
        <v>45</v>
      </c>
      <c r="B2" s="1" t="s">
        <v>557</v>
      </c>
    </row>
    <row r="3" spans="1:7" s="35" customFormat="1" x14ac:dyDescent="0.2">
      <c r="A3" s="36" t="s">
        <v>43</v>
      </c>
      <c r="B3" s="35" t="s">
        <v>558</v>
      </c>
    </row>
    <row r="4" spans="1:7" x14ac:dyDescent="0.2">
      <c r="A4" s="34" t="s">
        <v>41</v>
      </c>
      <c r="B4" s="1" t="s">
        <v>40</v>
      </c>
    </row>
    <row r="5" spans="1:7" x14ac:dyDescent="0.2">
      <c r="A5" s="34" t="s">
        <v>39</v>
      </c>
    </row>
    <row r="6" spans="1:7" x14ac:dyDescent="0.2">
      <c r="A6" s="34" t="s">
        <v>38</v>
      </c>
      <c r="B6" s="1">
        <v>3</v>
      </c>
    </row>
    <row r="7" spans="1:7" x14ac:dyDescent="0.2">
      <c r="A7" s="34" t="s">
        <v>37</v>
      </c>
      <c r="B7" s="1" t="s">
        <v>432</v>
      </c>
    </row>
    <row r="8" spans="1:7" x14ac:dyDescent="0.2">
      <c r="A8" s="34" t="s">
        <v>281</v>
      </c>
      <c r="B8" s="1" t="s">
        <v>559</v>
      </c>
    </row>
    <row r="9" spans="1:7" x14ac:dyDescent="0.2">
      <c r="A9" s="22"/>
    </row>
    <row r="10" spans="1:7" x14ac:dyDescent="0.2">
      <c r="A10" s="22" t="s">
        <v>36</v>
      </c>
      <c r="B10" s="33">
        <v>44377</v>
      </c>
      <c r="C10" s="33">
        <v>44286</v>
      </c>
      <c r="D10" s="33">
        <v>44196</v>
      </c>
      <c r="E10" s="33">
        <v>44104</v>
      </c>
      <c r="F10" s="33">
        <f>EOMONTH(E10,-3)</f>
        <v>44012</v>
      </c>
      <c r="G10" s="33">
        <f t="shared" ref="G10" si="0">EOMONTH(F10,-3)</f>
        <v>43921</v>
      </c>
    </row>
    <row r="12" spans="1:7" x14ac:dyDescent="0.2">
      <c r="A12" s="15" t="s">
        <v>35</v>
      </c>
      <c r="B12" s="19">
        <v>634.846</v>
      </c>
      <c r="C12" s="19">
        <v>538.61500000000001</v>
      </c>
      <c r="D12" s="19">
        <v>520.86199999999997</v>
      </c>
      <c r="E12" s="19">
        <v>493.57499999999999</v>
      </c>
      <c r="F12" s="19">
        <v>438.99799999999999</v>
      </c>
      <c r="G12" s="19">
        <v>521.72</v>
      </c>
    </row>
    <row r="13" spans="1:7" s="28" customFormat="1" x14ac:dyDescent="0.2">
      <c r="A13" s="28" t="s">
        <v>34</v>
      </c>
      <c r="B13" s="28">
        <f>+B12/F12-1</f>
        <v>0.4461250392940288</v>
      </c>
      <c r="C13" s="28">
        <f>+C12/G12-1</f>
        <v>3.2383270719926305E-2</v>
      </c>
    </row>
    <row r="14" spans="1:7" s="23" customFormat="1" x14ac:dyDescent="0.2">
      <c r="A14" s="31" t="s">
        <v>33</v>
      </c>
      <c r="B14" s="125" t="s">
        <v>32</v>
      </c>
      <c r="C14" s="125" t="s">
        <v>32</v>
      </c>
      <c r="D14" s="32"/>
      <c r="E14" s="32"/>
      <c r="F14" s="32"/>
      <c r="G14" s="32"/>
    </row>
    <row r="16" spans="1:7" s="22" customFormat="1" x14ac:dyDescent="0.2">
      <c r="A16" s="30" t="s">
        <v>31</v>
      </c>
      <c r="B16" s="29">
        <v>47.086000000000006</v>
      </c>
      <c r="C16" s="29">
        <v>44.222000000000001</v>
      </c>
      <c r="D16" s="29">
        <v>48.905000000000001</v>
      </c>
      <c r="E16" s="29">
        <v>43.232999999999997</v>
      </c>
      <c r="F16" s="29">
        <v>38.491</v>
      </c>
      <c r="G16" s="29">
        <v>42</v>
      </c>
    </row>
    <row r="17" spans="1:7" s="28" customFormat="1" x14ac:dyDescent="0.2">
      <c r="A17" s="28" t="s">
        <v>30</v>
      </c>
      <c r="B17" s="28">
        <f t="shared" ref="B17" si="1">+B16/B12</f>
        <v>7.4169168585767262E-2</v>
      </c>
      <c r="C17" s="28">
        <f t="shared" ref="C17" si="2">+C16/C12</f>
        <v>8.2103172024544438E-2</v>
      </c>
      <c r="D17" s="28">
        <f t="shared" ref="D17" si="3">+D16/D12</f>
        <v>9.389243216053389E-2</v>
      </c>
      <c r="E17" s="28">
        <f t="shared" ref="E17" si="4">+E16/E12</f>
        <v>8.7591551435951973E-2</v>
      </c>
      <c r="F17" s="28">
        <f t="shared" ref="F17:G17" si="5">+F16/F12</f>
        <v>8.7679214939475808E-2</v>
      </c>
      <c r="G17" s="28">
        <f t="shared" si="5"/>
        <v>8.0502951774898412E-2</v>
      </c>
    </row>
    <row r="18" spans="1:7" s="23" customFormat="1" x14ac:dyDescent="0.2"/>
    <row r="19" spans="1:7" s="23" customFormat="1" x14ac:dyDescent="0.2">
      <c r="A19" s="15" t="s">
        <v>29</v>
      </c>
      <c r="B19" s="19">
        <v>0</v>
      </c>
      <c r="C19" s="19">
        <v>0</v>
      </c>
      <c r="D19" s="19">
        <v>0</v>
      </c>
      <c r="E19" s="19">
        <v>0</v>
      </c>
      <c r="F19" s="19">
        <v>0</v>
      </c>
      <c r="G19" s="19">
        <v>0</v>
      </c>
    </row>
    <row r="20" spans="1:7" s="23" customFormat="1" x14ac:dyDescent="0.2">
      <c r="A20" s="15" t="s">
        <v>28</v>
      </c>
      <c r="B20" s="19">
        <v>0</v>
      </c>
      <c r="C20" s="19">
        <v>0</v>
      </c>
      <c r="D20" s="19">
        <v>0</v>
      </c>
      <c r="E20" s="19">
        <v>0</v>
      </c>
      <c r="F20" s="19">
        <v>0</v>
      </c>
      <c r="G20" s="19">
        <v>0</v>
      </c>
    </row>
    <row r="21" spans="1:7" s="23" customFormat="1" x14ac:dyDescent="0.2">
      <c r="A21" s="15" t="s">
        <v>18</v>
      </c>
      <c r="B21" s="19">
        <v>0</v>
      </c>
      <c r="C21" s="19">
        <v>0</v>
      </c>
      <c r="D21" s="19">
        <v>0</v>
      </c>
      <c r="E21" s="19">
        <v>0</v>
      </c>
      <c r="F21" s="19">
        <v>0</v>
      </c>
      <c r="G21" s="19">
        <v>0</v>
      </c>
    </row>
    <row r="22" spans="1:7" s="22" customFormat="1" x14ac:dyDescent="0.2">
      <c r="A22" s="22" t="s">
        <v>23</v>
      </c>
      <c r="B22" s="20">
        <f t="shared" ref="B22" si="6">SUM(B16,B19:B21)</f>
        <v>47.086000000000006</v>
      </c>
      <c r="C22" s="20">
        <f t="shared" ref="C22" si="7">SUM(C16,C19:C21)</f>
        <v>44.222000000000001</v>
      </c>
      <c r="D22" s="20">
        <f t="shared" ref="D22" si="8">SUM(D16,D19:D21)</f>
        <v>48.905000000000001</v>
      </c>
      <c r="E22" s="20">
        <f t="shared" ref="E22" si="9">SUM(E16,E19:E21)</f>
        <v>43.232999999999997</v>
      </c>
      <c r="F22" s="20">
        <f t="shared" ref="F22:G22" si="10">SUM(F16,F19:F21)</f>
        <v>38.491</v>
      </c>
      <c r="G22" s="20">
        <f t="shared" si="10"/>
        <v>42</v>
      </c>
    </row>
    <row r="23" spans="1:7" s="22" customFormat="1" x14ac:dyDescent="0.2">
      <c r="B23" s="20"/>
      <c r="C23" s="20"/>
      <c r="D23" s="20"/>
      <c r="E23" s="20"/>
      <c r="F23" s="20"/>
      <c r="G23" s="20"/>
    </row>
    <row r="24" spans="1:7" s="22" customFormat="1" x14ac:dyDescent="0.2">
      <c r="A24" s="22" t="s">
        <v>27</v>
      </c>
      <c r="B24" s="61">
        <v>262</v>
      </c>
      <c r="C24" s="61">
        <v>217</v>
      </c>
      <c r="D24" s="61">
        <v>212</v>
      </c>
      <c r="E24" s="20"/>
      <c r="F24" s="20"/>
      <c r="G24" s="20"/>
    </row>
    <row r="25" spans="1:7" s="23" customFormat="1" x14ac:dyDescent="0.2">
      <c r="A25" s="15" t="s">
        <v>26</v>
      </c>
      <c r="B25" s="27">
        <v>0</v>
      </c>
      <c r="C25" s="27">
        <v>0</v>
      </c>
      <c r="D25" s="27">
        <v>0</v>
      </c>
      <c r="E25" s="27"/>
      <c r="F25" s="27"/>
      <c r="G25" s="27"/>
    </row>
    <row r="26" spans="1:7" s="23" customFormat="1" x14ac:dyDescent="0.2">
      <c r="A26" s="15" t="s">
        <v>25</v>
      </c>
      <c r="B26" s="21">
        <v>0</v>
      </c>
      <c r="C26" s="21">
        <v>0</v>
      </c>
      <c r="D26" s="21">
        <v>0</v>
      </c>
      <c r="E26" s="21"/>
      <c r="F26" s="21"/>
      <c r="G26" s="21"/>
    </row>
    <row r="27" spans="1:7" s="24" customFormat="1" x14ac:dyDescent="0.2">
      <c r="A27" s="22" t="s">
        <v>24</v>
      </c>
      <c r="B27" s="20">
        <f>B24+B25+B26</f>
        <v>262</v>
      </c>
      <c r="C27" s="20">
        <f>C24+C25+C26</f>
        <v>217</v>
      </c>
      <c r="D27" s="20">
        <f>D24+D25+D26</f>
        <v>212</v>
      </c>
      <c r="E27" s="20"/>
      <c r="F27" s="20"/>
      <c r="G27" s="20"/>
    </row>
    <row r="28" spans="1:7" s="23" customFormat="1" x14ac:dyDescent="0.2"/>
    <row r="29" spans="1:7" s="22" customFormat="1" x14ac:dyDescent="0.2">
      <c r="A29" s="22" t="s">
        <v>23</v>
      </c>
      <c r="B29" s="20"/>
      <c r="C29" s="20"/>
      <c r="D29" s="20"/>
      <c r="E29" s="20"/>
      <c r="F29" s="20"/>
      <c r="G29" s="20"/>
    </row>
    <row r="30" spans="1:7" s="11" customFormat="1" x14ac:dyDescent="0.2">
      <c r="A30" s="19" t="s">
        <v>22</v>
      </c>
      <c r="B30" s="19">
        <v>-24.001000000000001</v>
      </c>
      <c r="C30" s="19">
        <v>-20.276</v>
      </c>
      <c r="D30" s="19">
        <v>-18.593</v>
      </c>
      <c r="E30" s="19">
        <v>-17.948</v>
      </c>
      <c r="F30" s="19">
        <v>-17.809999999999999</v>
      </c>
      <c r="G30" s="19">
        <v>-20.713000000000001</v>
      </c>
    </row>
    <row r="31" spans="1:7" s="11" customFormat="1" x14ac:dyDescent="0.2">
      <c r="A31" s="19" t="s">
        <v>21</v>
      </c>
      <c r="B31" s="19">
        <v>1.609</v>
      </c>
      <c r="C31" s="19">
        <v>-0.27500000000000002</v>
      </c>
      <c r="D31" s="19">
        <v>0.22600000000000001</v>
      </c>
      <c r="E31" s="19">
        <v>-2.996</v>
      </c>
      <c r="F31" s="19">
        <v>-0.16600000000000001</v>
      </c>
      <c r="G31" s="19">
        <v>-0.65500000000000003</v>
      </c>
    </row>
    <row r="32" spans="1:7" s="11" customFormat="1" x14ac:dyDescent="0.2">
      <c r="A32" s="19" t="s">
        <v>20</v>
      </c>
      <c r="B32" s="19">
        <v>5.3544000000000036</v>
      </c>
      <c r="C32" s="19">
        <v>8.0340000000000025</v>
      </c>
      <c r="D32" s="19">
        <v>-5.3810000000000002</v>
      </c>
      <c r="E32" s="19">
        <v>1.7089999999999994</v>
      </c>
      <c r="F32" s="19">
        <v>-4.1349999999999989</v>
      </c>
      <c r="G32" s="19">
        <v>-5.8319999999999936</v>
      </c>
    </row>
    <row r="33" spans="1:7" s="11" customFormat="1" x14ac:dyDescent="0.2">
      <c r="A33" s="19" t="s">
        <v>19</v>
      </c>
      <c r="B33" s="19">
        <v>0</v>
      </c>
      <c r="C33" s="19">
        <v>0</v>
      </c>
      <c r="D33" s="19">
        <v>0</v>
      </c>
      <c r="E33" s="19">
        <v>0</v>
      </c>
      <c r="F33" s="19">
        <v>0</v>
      </c>
      <c r="G33" s="19">
        <v>0</v>
      </c>
    </row>
    <row r="34" spans="1:7" s="11" customFormat="1" x14ac:dyDescent="0.2">
      <c r="A34" s="19" t="s">
        <v>18</v>
      </c>
      <c r="B34" s="21">
        <v>0</v>
      </c>
      <c r="C34" s="21">
        <v>0</v>
      </c>
      <c r="D34" s="21">
        <v>0</v>
      </c>
      <c r="E34" s="21">
        <v>0</v>
      </c>
      <c r="F34" s="21">
        <v>0</v>
      </c>
      <c r="G34" s="21">
        <v>0</v>
      </c>
    </row>
    <row r="35" spans="1:7" s="20" customFormat="1" x14ac:dyDescent="0.2">
      <c r="A35" s="20" t="s">
        <v>17</v>
      </c>
      <c r="B35" s="20">
        <v>18.757000000000001</v>
      </c>
      <c r="C35" s="20">
        <v>20.709</v>
      </c>
      <c r="D35" s="20">
        <v>3.3</v>
      </c>
      <c r="E35" s="20">
        <v>18.113</v>
      </c>
      <c r="F35" s="20">
        <v>14.443</v>
      </c>
      <c r="G35" s="20">
        <v>-3.9279999999999999</v>
      </c>
    </row>
    <row r="36" spans="1:7" s="11" customFormat="1" x14ac:dyDescent="0.2">
      <c r="A36" s="19" t="s">
        <v>16</v>
      </c>
      <c r="B36" s="21">
        <v>-2.5810000000000004</v>
      </c>
      <c r="C36" s="21">
        <v>-1.478</v>
      </c>
      <c r="D36" s="21">
        <v>-1.0660000000000001</v>
      </c>
      <c r="E36" s="21">
        <v>-2.5249999999999999</v>
      </c>
      <c r="F36" s="21">
        <v>-3.5670000000000002</v>
      </c>
      <c r="G36" s="21">
        <v>-3.823</v>
      </c>
    </row>
    <row r="37" spans="1:7" s="20" customFormat="1" x14ac:dyDescent="0.2">
      <c r="A37" s="20" t="s">
        <v>15</v>
      </c>
      <c r="B37" s="20">
        <f t="shared" ref="B37:G37" si="11">B35+B36</f>
        <v>16.176000000000002</v>
      </c>
      <c r="C37" s="20">
        <f t="shared" si="11"/>
        <v>19.230999999999998</v>
      </c>
      <c r="D37" s="20">
        <f t="shared" si="11"/>
        <v>2.234</v>
      </c>
      <c r="E37" s="20">
        <f t="shared" si="11"/>
        <v>15.587999999999999</v>
      </c>
      <c r="F37" s="20">
        <f t="shared" si="11"/>
        <v>10.875999999999999</v>
      </c>
      <c r="G37" s="20">
        <f t="shared" si="11"/>
        <v>-7.7509999999999994</v>
      </c>
    </row>
    <row r="39" spans="1:7" s="16" customFormat="1" x14ac:dyDescent="0.2">
      <c r="A39" s="18" t="s">
        <v>14</v>
      </c>
      <c r="B39" s="19">
        <v>0</v>
      </c>
      <c r="C39" s="19">
        <v>0</v>
      </c>
      <c r="D39" s="19">
        <v>0</v>
      </c>
      <c r="E39" s="19"/>
      <c r="F39" s="19"/>
      <c r="G39" s="19"/>
    </row>
    <row r="40" spans="1:7" s="16" customFormat="1" x14ac:dyDescent="0.2">
      <c r="A40" s="18" t="s">
        <v>13</v>
      </c>
      <c r="B40" s="19">
        <v>989.21</v>
      </c>
      <c r="C40" s="19">
        <f>959+33</f>
        <v>992</v>
      </c>
      <c r="D40" s="19">
        <f>961+31</f>
        <v>992</v>
      </c>
      <c r="E40" s="19"/>
      <c r="F40" s="19"/>
      <c r="G40" s="19"/>
    </row>
    <row r="41" spans="1:7" s="16" customFormat="1" x14ac:dyDescent="0.2">
      <c r="A41" s="18" t="s">
        <v>12</v>
      </c>
      <c r="B41" s="19">
        <f>B39+B40+660</f>
        <v>1649.21</v>
      </c>
      <c r="C41" s="19">
        <f>+C39+C40+300</f>
        <v>1292</v>
      </c>
      <c r="D41" s="19">
        <f>+D39+D40+300</f>
        <v>1292</v>
      </c>
      <c r="E41" s="19"/>
      <c r="F41" s="19"/>
      <c r="G41" s="19"/>
    </row>
    <row r="42" spans="1:7" s="16" customFormat="1" x14ac:dyDescent="0.2">
      <c r="A42" s="18" t="s">
        <v>11</v>
      </c>
      <c r="B42" s="17">
        <v>680</v>
      </c>
      <c r="C42" s="17">
        <v>680</v>
      </c>
      <c r="D42" s="17">
        <v>680</v>
      </c>
      <c r="E42" s="17"/>
      <c r="F42" s="17"/>
      <c r="G42" s="17"/>
    </row>
    <row r="43" spans="1:7" x14ac:dyDescent="0.2">
      <c r="B43" s="16"/>
      <c r="C43" s="16"/>
      <c r="D43" s="16"/>
      <c r="E43" s="16"/>
      <c r="F43" s="16"/>
      <c r="G43" s="16"/>
    </row>
    <row r="44" spans="1:7" x14ac:dyDescent="0.2">
      <c r="A44" s="15" t="s">
        <v>10</v>
      </c>
      <c r="B44" s="27">
        <v>0</v>
      </c>
      <c r="C44" s="27">
        <v>42</v>
      </c>
      <c r="D44" s="27">
        <v>67</v>
      </c>
      <c r="E44" s="27"/>
      <c r="F44" s="27"/>
      <c r="G44" s="27"/>
    </row>
    <row r="46" spans="1:7" x14ac:dyDescent="0.2">
      <c r="A46" s="1" t="s">
        <v>9</v>
      </c>
      <c r="B46" s="13">
        <f>C46+B12-F12</f>
        <v>2429.848</v>
      </c>
      <c r="C46" s="12">
        <v>2234</v>
      </c>
      <c r="D46" s="12">
        <v>2261</v>
      </c>
      <c r="E46" s="12"/>
      <c r="F46" s="11"/>
      <c r="G46" s="11"/>
    </row>
    <row r="47" spans="1:7" x14ac:dyDescent="0.2">
      <c r="A47" s="1" t="s">
        <v>8</v>
      </c>
      <c r="B47" s="13">
        <f>B27</f>
        <v>262</v>
      </c>
      <c r="C47" s="13">
        <f>C27</f>
        <v>217</v>
      </c>
      <c r="D47" s="13">
        <f>D27</f>
        <v>212</v>
      </c>
      <c r="E47" s="12"/>
      <c r="F47" s="11"/>
      <c r="G47" s="11"/>
    </row>
    <row r="48" spans="1:7" x14ac:dyDescent="0.2">
      <c r="A48" s="1" t="s">
        <v>7</v>
      </c>
      <c r="B48" s="13">
        <f>C48+B37-F37</f>
        <v>219.29999999999998</v>
      </c>
      <c r="C48" s="12">
        <v>214</v>
      </c>
      <c r="D48" s="12">
        <v>209</v>
      </c>
      <c r="E48" s="12"/>
      <c r="F48" s="11"/>
      <c r="G48" s="11"/>
    </row>
    <row r="50" spans="1:7" s="10" customFormat="1" x14ac:dyDescent="0.2">
      <c r="A50" s="10" t="s">
        <v>6</v>
      </c>
      <c r="B50" s="10">
        <f>+SUM(B39:B40)/B47</f>
        <v>3.7756106870229007</v>
      </c>
      <c r="C50" s="10">
        <f>+SUM(C39:C40)/C47</f>
        <v>4.5714285714285712</v>
      </c>
      <c r="D50" s="10">
        <f>+SUM(D39:D40)/D47</f>
        <v>4.6792452830188678</v>
      </c>
    </row>
    <row r="51" spans="1:7" s="10" customFormat="1" x14ac:dyDescent="0.2">
      <c r="A51" s="10" t="s">
        <v>5</v>
      </c>
      <c r="B51" s="10">
        <f>+B41/B47</f>
        <v>6.2946946564885495</v>
      </c>
      <c r="C51" s="10">
        <f>+C41/C47</f>
        <v>5.9539170506912447</v>
      </c>
      <c r="D51" s="10">
        <f>+D41/D47</f>
        <v>6.0943396226415096</v>
      </c>
    </row>
    <row r="52" spans="1:7" s="10" customFormat="1" x14ac:dyDescent="0.2">
      <c r="A52" s="10" t="s">
        <v>4</v>
      </c>
      <c r="B52" s="10">
        <f>+(B41-B44)/B47</f>
        <v>6.2946946564885495</v>
      </c>
      <c r="C52" s="10">
        <f>+(C41-C44)/C47</f>
        <v>5.7603686635944698</v>
      </c>
      <c r="D52" s="10">
        <f>+(D41-D44)/D47</f>
        <v>5.7783018867924527</v>
      </c>
    </row>
    <row r="53" spans="1:7" s="6" customFormat="1" x14ac:dyDescent="0.2">
      <c r="A53" s="6" t="s">
        <v>3</v>
      </c>
      <c r="B53" s="6">
        <f>+B48/B41</f>
        <v>0.13297275665318545</v>
      </c>
      <c r="C53" s="6">
        <f>+C48/C41</f>
        <v>0.16563467492260062</v>
      </c>
      <c r="D53" s="6">
        <f>+D48/D41</f>
        <v>0.16176470588235295</v>
      </c>
    </row>
    <row r="54" spans="1:7" s="6" customFormat="1" x14ac:dyDescent="0.2">
      <c r="A54" s="8" t="s">
        <v>2</v>
      </c>
      <c r="B54" s="9"/>
      <c r="C54" s="9"/>
      <c r="D54" s="9"/>
      <c r="E54" s="9"/>
      <c r="F54" s="9"/>
      <c r="G54" s="9"/>
    </row>
    <row r="55" spans="1:7" s="6" customFormat="1" x14ac:dyDescent="0.2">
      <c r="A55" s="6" t="s">
        <v>1</v>
      </c>
      <c r="B55" s="7">
        <f>IF(B42=0,IF(B54="","","*"&amp;TEXT(B54,"0.0x")),(B41+B42-B44)/B47)</f>
        <v>8.8901145038167932</v>
      </c>
      <c r="C55" s="7">
        <f>IF(C42=0,IF(C54="","","*"&amp;TEXT(C54,"0.0x")),(C41+C42-C44)/C47)</f>
        <v>8.8940092165898612</v>
      </c>
      <c r="D55" s="7">
        <f>IF(D42=0,IF(D54="","","*"&amp;TEXT(D54,"0.0x")),(D41+D42-D44)/D47)</f>
        <v>8.9858490566037741</v>
      </c>
      <c r="E55" s="7"/>
      <c r="F55" s="7"/>
      <c r="G55" s="7"/>
    </row>
    <row r="57" spans="1:7" ht="80.25" customHeight="1" x14ac:dyDescent="0.2">
      <c r="A57" s="5" t="s">
        <v>0</v>
      </c>
      <c r="B57" s="4" t="s">
        <v>235</v>
      </c>
      <c r="C57" s="4" t="s">
        <v>235</v>
      </c>
      <c r="D57" s="4" t="s">
        <v>235</v>
      </c>
      <c r="E57" s="4"/>
      <c r="F57" s="4"/>
      <c r="G57" s="4"/>
    </row>
    <row r="58" spans="1:7" x14ac:dyDescent="0.2">
      <c r="A58" s="2"/>
      <c r="B58" s="3"/>
      <c r="C58" s="3"/>
      <c r="D58" s="3"/>
      <c r="E58" s="3"/>
    </row>
    <row r="59" spans="1:7" x14ac:dyDescent="0.2">
      <c r="A59" s="2"/>
    </row>
  </sheetData>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E9C87-EA26-4FB4-AEA5-3A31BF952519}">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560</v>
      </c>
    </row>
    <row r="3" spans="1:9" s="35" customFormat="1" x14ac:dyDescent="0.2">
      <c r="A3" s="36" t="s">
        <v>43</v>
      </c>
      <c r="B3" s="35" t="s">
        <v>561</v>
      </c>
    </row>
    <row r="4" spans="1:9" x14ac:dyDescent="0.2">
      <c r="A4" s="34" t="s">
        <v>41</v>
      </c>
      <c r="B4" s="1" t="s">
        <v>40</v>
      </c>
    </row>
    <row r="5" spans="1:9" x14ac:dyDescent="0.2">
      <c r="A5" s="34" t="s">
        <v>39</v>
      </c>
    </row>
    <row r="6" spans="1:9" x14ac:dyDescent="0.2">
      <c r="A6" s="34" t="s">
        <v>38</v>
      </c>
      <c r="B6" s="1">
        <v>3</v>
      </c>
    </row>
    <row r="7" spans="1:9" x14ac:dyDescent="0.2">
      <c r="A7" s="34" t="s">
        <v>37</v>
      </c>
      <c r="B7" s="1" t="s">
        <v>563</v>
      </c>
    </row>
    <row r="8" spans="1:9" x14ac:dyDescent="0.2">
      <c r="A8" s="34" t="s">
        <v>281</v>
      </c>
      <c r="B8" s="1" t="s">
        <v>562</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370</v>
      </c>
      <c r="C40" s="19"/>
      <c r="D40" s="19"/>
      <c r="E40" s="19"/>
      <c r="F40" s="19"/>
      <c r="G40" s="19"/>
      <c r="H40" s="19"/>
      <c r="I40" s="19"/>
    </row>
    <row r="41" spans="1:9" s="16" customFormat="1" x14ac:dyDescent="0.2">
      <c r="A41" s="18" t="s">
        <v>12</v>
      </c>
      <c r="B41" s="19">
        <f>B39+B40</f>
        <v>370</v>
      </c>
      <c r="C41" s="19"/>
      <c r="D41" s="19"/>
      <c r="E41" s="19"/>
      <c r="F41" s="19"/>
      <c r="G41" s="19"/>
      <c r="H41" s="19"/>
      <c r="I41" s="19"/>
    </row>
    <row r="42" spans="1:9" s="16" customFormat="1" x14ac:dyDescent="0.2">
      <c r="A42" s="18" t="s">
        <v>11</v>
      </c>
      <c r="B42" s="17">
        <v>420</v>
      </c>
      <c r="C42" s="17"/>
      <c r="D42" s="17"/>
      <c r="E42" s="17"/>
      <c r="F42" s="17"/>
      <c r="G42" s="17"/>
      <c r="H42" s="17"/>
      <c r="I42" s="17"/>
    </row>
    <row r="43" spans="1:9" x14ac:dyDescent="0.2">
      <c r="B43" s="16"/>
      <c r="C43" s="16"/>
      <c r="D43" s="16"/>
    </row>
    <row r="44" spans="1:9" x14ac:dyDescent="0.2">
      <c r="A44" s="15" t="s">
        <v>10</v>
      </c>
      <c r="B44" s="27">
        <v>15</v>
      </c>
      <c r="C44" s="27"/>
      <c r="D44" s="27"/>
      <c r="E44" s="27"/>
      <c r="F44" s="27"/>
      <c r="G44" s="27"/>
      <c r="H44" s="14"/>
      <c r="I44" s="14"/>
    </row>
    <row r="46" spans="1:9" x14ac:dyDescent="0.2">
      <c r="A46" s="1" t="s">
        <v>9</v>
      </c>
      <c r="B46" s="12">
        <v>616</v>
      </c>
      <c r="C46" s="11"/>
      <c r="D46" s="11"/>
      <c r="E46" s="11"/>
      <c r="F46" s="11"/>
    </row>
    <row r="47" spans="1:9" x14ac:dyDescent="0.2">
      <c r="A47" s="1" t="s">
        <v>8</v>
      </c>
      <c r="B47" s="12">
        <v>64.599999999999994</v>
      </c>
      <c r="C47" s="11"/>
      <c r="D47" s="11"/>
      <c r="E47" s="11"/>
      <c r="F47" s="11"/>
    </row>
    <row r="48" spans="1:9" x14ac:dyDescent="0.2">
      <c r="A48" s="1" t="s">
        <v>7</v>
      </c>
      <c r="B48" s="12">
        <v>27.052822625000076</v>
      </c>
      <c r="C48" s="11"/>
      <c r="D48" s="11"/>
      <c r="E48" s="11"/>
      <c r="F48" s="11"/>
    </row>
    <row r="50" spans="1:9" s="10" customFormat="1" x14ac:dyDescent="0.2">
      <c r="A50" s="10" t="s">
        <v>6</v>
      </c>
      <c r="B50" s="10">
        <f>+SUM(B39:B40)/B47</f>
        <v>5.7275541795665639</v>
      </c>
    </row>
    <row r="51" spans="1:9" s="10" customFormat="1" x14ac:dyDescent="0.2">
      <c r="A51" s="10" t="s">
        <v>5</v>
      </c>
      <c r="B51" s="10">
        <f>+B41/B47</f>
        <v>5.7275541795665639</v>
      </c>
    </row>
    <row r="52" spans="1:9" s="10" customFormat="1" x14ac:dyDescent="0.2">
      <c r="A52" s="10" t="s">
        <v>4</v>
      </c>
      <c r="B52" s="10">
        <f>+(B41-B44)/B47</f>
        <v>5.4953560371517032</v>
      </c>
    </row>
    <row r="53" spans="1:9" s="6" customFormat="1" x14ac:dyDescent="0.2">
      <c r="A53" s="6" t="s">
        <v>3</v>
      </c>
      <c r="B53" s="6">
        <f>+B48/B41</f>
        <v>7.3115736824324526E-2</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11.996904024767803</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7E94-5732-4135-A765-43B2169BF361}">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565</v>
      </c>
    </row>
    <row r="3" spans="1:10" s="35" customFormat="1" x14ac:dyDescent="0.2">
      <c r="A3" s="36" t="s">
        <v>43</v>
      </c>
      <c r="B3" s="35" t="s">
        <v>566</v>
      </c>
    </row>
    <row r="4" spans="1:10" x14ac:dyDescent="0.2">
      <c r="A4" s="34" t="s">
        <v>41</v>
      </c>
      <c r="B4" s="1" t="s">
        <v>40</v>
      </c>
    </row>
    <row r="5" spans="1:10" x14ac:dyDescent="0.2">
      <c r="A5" s="34" t="s">
        <v>39</v>
      </c>
    </row>
    <row r="6" spans="1:10" x14ac:dyDescent="0.2">
      <c r="A6" s="34" t="s">
        <v>38</v>
      </c>
      <c r="B6" s="1">
        <v>3</v>
      </c>
    </row>
    <row r="7" spans="1:10" x14ac:dyDescent="0.2">
      <c r="A7" s="34" t="s">
        <v>37</v>
      </c>
      <c r="B7" s="1" t="s">
        <v>568</v>
      </c>
    </row>
    <row r="8" spans="1:10" x14ac:dyDescent="0.2">
      <c r="A8" s="34" t="s">
        <v>281</v>
      </c>
      <c r="B8" s="1" t="s">
        <v>567</v>
      </c>
    </row>
    <row r="9" spans="1:10" x14ac:dyDescent="0.2">
      <c r="A9" s="22"/>
    </row>
    <row r="10" spans="1:10" x14ac:dyDescent="0.2">
      <c r="A10" s="22" t="s">
        <v>36</v>
      </c>
      <c r="B10" s="33">
        <v>44286</v>
      </c>
      <c r="C10" s="33">
        <v>44196</v>
      </c>
      <c r="D10" s="33">
        <f>EOMONTH(C10,-3)</f>
        <v>44104</v>
      </c>
      <c r="E10" s="33">
        <f t="shared" ref="E10:J10" si="0">EOMONTH(D10,-3)</f>
        <v>44012</v>
      </c>
      <c r="F10" s="33">
        <f t="shared" si="0"/>
        <v>43921</v>
      </c>
      <c r="G10" s="33">
        <f t="shared" si="0"/>
        <v>43830</v>
      </c>
      <c r="H10" s="33">
        <f t="shared" si="0"/>
        <v>43738</v>
      </c>
      <c r="I10" s="33">
        <f t="shared" si="0"/>
        <v>43646</v>
      </c>
      <c r="J10" s="33">
        <f t="shared" si="0"/>
        <v>43555</v>
      </c>
    </row>
    <row r="12" spans="1:10" x14ac:dyDescent="0.2">
      <c r="A12" s="15" t="s">
        <v>35</v>
      </c>
      <c r="B12" s="19">
        <v>269.18200000000002</v>
      </c>
      <c r="C12" s="19"/>
      <c r="D12" s="19"/>
      <c r="E12" s="19"/>
      <c r="F12" s="19">
        <v>228.029</v>
      </c>
      <c r="G12" s="19"/>
      <c r="H12" s="19"/>
      <c r="I12" s="19"/>
      <c r="J12" s="19"/>
    </row>
    <row r="13" spans="1:10" s="28" customFormat="1" x14ac:dyDescent="0.2">
      <c r="A13" s="28" t="s">
        <v>34</v>
      </c>
      <c r="B13" s="28">
        <f>+B12/F12-1</f>
        <v>0.1804726591793151</v>
      </c>
    </row>
    <row r="14" spans="1:10" s="23" customFormat="1" x14ac:dyDescent="0.2">
      <c r="A14" s="31" t="s">
        <v>33</v>
      </c>
      <c r="B14" s="32" t="s">
        <v>32</v>
      </c>
      <c r="C14" s="32"/>
      <c r="D14" s="32"/>
      <c r="E14" s="32"/>
      <c r="F14" s="32"/>
      <c r="G14" s="31"/>
      <c r="H14" s="31"/>
      <c r="I14" s="31"/>
      <c r="J14" s="31"/>
    </row>
    <row r="16" spans="1:10" s="22" customFormat="1" x14ac:dyDescent="0.2">
      <c r="A16" s="30" t="s">
        <v>31</v>
      </c>
      <c r="B16" s="29">
        <v>39.200000000000003</v>
      </c>
      <c r="C16" s="29"/>
      <c r="D16" s="29"/>
      <c r="E16" s="29"/>
      <c r="F16" s="29">
        <v>41.7</v>
      </c>
      <c r="G16" s="29"/>
      <c r="H16" s="29"/>
      <c r="I16" s="29"/>
      <c r="J16" s="29"/>
    </row>
    <row r="17" spans="1:10" s="28" customFormat="1" x14ac:dyDescent="0.2">
      <c r="A17" s="28" t="s">
        <v>30</v>
      </c>
      <c r="B17" s="28">
        <f>+B16/B12</f>
        <v>0.14562637917839974</v>
      </c>
      <c r="F17" s="28">
        <f t="shared" ref="F17" si="1">+F16/F12</f>
        <v>0.18287147687355557</v>
      </c>
    </row>
    <row r="18" spans="1:10" s="23" customFormat="1" x14ac:dyDescent="0.2"/>
    <row r="19" spans="1:10" s="23" customFormat="1" x14ac:dyDescent="0.2">
      <c r="A19" s="15" t="s">
        <v>29</v>
      </c>
      <c r="B19" s="19">
        <v>0</v>
      </c>
      <c r="C19" s="19"/>
      <c r="D19" s="19"/>
      <c r="E19" s="19"/>
      <c r="F19" s="19">
        <v>0</v>
      </c>
      <c r="G19" s="19"/>
      <c r="H19" s="19"/>
      <c r="I19" s="19"/>
      <c r="J19" s="19"/>
    </row>
    <row r="20" spans="1:10" s="23" customFormat="1" x14ac:dyDescent="0.2">
      <c r="A20" s="15" t="s">
        <v>28</v>
      </c>
      <c r="B20" s="19">
        <v>0</v>
      </c>
      <c r="C20" s="19"/>
      <c r="D20" s="19"/>
      <c r="E20" s="19"/>
      <c r="F20" s="19">
        <v>0</v>
      </c>
      <c r="G20" s="19"/>
      <c r="H20" s="19"/>
      <c r="I20" s="19"/>
      <c r="J20" s="19"/>
    </row>
    <row r="21" spans="1:10" s="23" customFormat="1" x14ac:dyDescent="0.2">
      <c r="A21" s="15" t="s">
        <v>18</v>
      </c>
      <c r="B21" s="19">
        <v>0</v>
      </c>
      <c r="C21" s="19"/>
      <c r="D21" s="19"/>
      <c r="E21" s="19"/>
      <c r="F21" s="19">
        <v>0</v>
      </c>
      <c r="G21" s="19"/>
      <c r="H21" s="19"/>
      <c r="I21" s="19"/>
      <c r="J21" s="19"/>
    </row>
    <row r="22" spans="1:10" s="22" customFormat="1" x14ac:dyDescent="0.2">
      <c r="A22" s="22" t="s">
        <v>23</v>
      </c>
      <c r="B22" s="20">
        <f>SUM(B16,B19:B21)</f>
        <v>39.200000000000003</v>
      </c>
      <c r="C22" s="20"/>
      <c r="D22" s="20"/>
      <c r="E22" s="20"/>
      <c r="F22" s="20">
        <f t="shared" ref="F22" si="2">SUM(F16,F19:F21)</f>
        <v>41.7</v>
      </c>
      <c r="G22" s="20"/>
      <c r="H22" s="20"/>
      <c r="I22" s="20"/>
      <c r="J22" s="20"/>
    </row>
    <row r="23" spans="1:10" s="22" customFormat="1" x14ac:dyDescent="0.2">
      <c r="B23" s="20"/>
      <c r="C23" s="20"/>
      <c r="D23" s="20"/>
      <c r="E23" s="20"/>
      <c r="F23" s="20"/>
      <c r="G23" s="20"/>
      <c r="H23" s="20"/>
      <c r="I23" s="20"/>
      <c r="J23" s="20"/>
    </row>
    <row r="24" spans="1:10" s="22" customFormat="1" x14ac:dyDescent="0.2">
      <c r="A24" s="22" t="s">
        <v>27</v>
      </c>
      <c r="B24" s="61">
        <v>186</v>
      </c>
      <c r="C24" s="20"/>
      <c r="D24" s="20"/>
      <c r="E24" s="20"/>
      <c r="F24" s="20"/>
      <c r="G24" s="20"/>
      <c r="H24" s="20"/>
      <c r="I24" s="20"/>
      <c r="J24" s="20"/>
    </row>
    <row r="25" spans="1:10" s="23" customFormat="1" x14ac:dyDescent="0.2">
      <c r="A25" s="15" t="s">
        <v>26</v>
      </c>
      <c r="B25" s="27">
        <v>0</v>
      </c>
      <c r="C25" s="27"/>
      <c r="D25" s="27"/>
      <c r="E25" s="27"/>
      <c r="F25" s="27"/>
      <c r="G25" s="27"/>
      <c r="H25" s="27"/>
      <c r="I25" s="27"/>
      <c r="J25" s="27"/>
    </row>
    <row r="26" spans="1:10" s="23" customFormat="1" x14ac:dyDescent="0.2">
      <c r="A26" s="15" t="s">
        <v>25</v>
      </c>
      <c r="B26" s="21">
        <v>0</v>
      </c>
      <c r="C26" s="21"/>
      <c r="D26" s="21"/>
      <c r="E26" s="21"/>
      <c r="F26" s="21"/>
      <c r="G26" s="21"/>
      <c r="H26" s="26"/>
      <c r="I26" s="26"/>
      <c r="J26" s="26"/>
    </row>
    <row r="27" spans="1:10" s="24" customFormat="1" x14ac:dyDescent="0.2">
      <c r="A27" s="22" t="s">
        <v>24</v>
      </c>
      <c r="B27" s="20">
        <f>SUM(B24:B26)</f>
        <v>186</v>
      </c>
      <c r="C27" s="20"/>
      <c r="D27" s="20"/>
      <c r="E27" s="20"/>
      <c r="F27" s="20"/>
      <c r="G27" s="20"/>
      <c r="H27" s="25"/>
      <c r="I27" s="25"/>
      <c r="J27" s="25"/>
    </row>
    <row r="28" spans="1:10" s="23" customFormat="1" x14ac:dyDescent="0.2"/>
    <row r="29" spans="1:10" s="22" customFormat="1" x14ac:dyDescent="0.2">
      <c r="A29" s="22" t="s">
        <v>23</v>
      </c>
      <c r="B29" s="20">
        <f t="shared" ref="B29" si="3">B22</f>
        <v>39.200000000000003</v>
      </c>
      <c r="C29" s="20"/>
      <c r="D29" s="20"/>
      <c r="E29" s="20"/>
      <c r="F29" s="20">
        <f t="shared" ref="F29" si="4">F22</f>
        <v>41.7</v>
      </c>
      <c r="G29" s="20"/>
      <c r="H29" s="20"/>
      <c r="I29" s="20"/>
      <c r="J29" s="20"/>
    </row>
    <row r="30" spans="1:10" s="11" customFormat="1" x14ac:dyDescent="0.2">
      <c r="A30" s="19" t="s">
        <v>22</v>
      </c>
      <c r="B30" s="19">
        <v>-10.861000000000001</v>
      </c>
      <c r="C30" s="19"/>
      <c r="D30" s="19"/>
      <c r="E30" s="19"/>
      <c r="F30" s="19">
        <v>-9.6430000000000007</v>
      </c>
      <c r="G30" s="19"/>
      <c r="H30" s="19"/>
      <c r="I30" s="19"/>
      <c r="J30" s="19"/>
    </row>
    <row r="31" spans="1:10" s="11" customFormat="1" x14ac:dyDescent="0.2">
      <c r="A31" s="19" t="s">
        <v>21</v>
      </c>
      <c r="B31" s="19">
        <v>-1.004</v>
      </c>
      <c r="C31" s="19"/>
      <c r="D31" s="19"/>
      <c r="E31" s="19"/>
      <c r="F31" s="19">
        <v>-1.458</v>
      </c>
      <c r="G31" s="19"/>
      <c r="H31" s="19"/>
      <c r="I31" s="19"/>
      <c r="J31" s="19"/>
    </row>
    <row r="32" spans="1:10" s="11" customFormat="1" x14ac:dyDescent="0.2">
      <c r="A32" s="19" t="s">
        <v>20</v>
      </c>
      <c r="B32" s="19">
        <v>-36.837000000000003</v>
      </c>
      <c r="C32" s="19"/>
      <c r="D32" s="19"/>
      <c r="E32" s="19"/>
      <c r="F32" s="19">
        <v>-19.248000000000001</v>
      </c>
      <c r="G32" s="19"/>
      <c r="H32" s="19"/>
      <c r="I32" s="19"/>
      <c r="J32" s="19"/>
    </row>
    <row r="33" spans="1:10" s="11" customFormat="1" x14ac:dyDescent="0.2">
      <c r="A33" s="19" t="s">
        <v>19</v>
      </c>
      <c r="B33" s="19">
        <v>0</v>
      </c>
      <c r="C33" s="19"/>
      <c r="D33" s="19"/>
      <c r="E33" s="19"/>
      <c r="F33" s="19">
        <v>0</v>
      </c>
      <c r="G33" s="19"/>
      <c r="H33" s="19"/>
      <c r="I33" s="19"/>
      <c r="J33" s="19"/>
    </row>
    <row r="34" spans="1:10" s="11" customFormat="1" x14ac:dyDescent="0.2">
      <c r="A34" s="19" t="s">
        <v>18</v>
      </c>
      <c r="B34" s="21">
        <v>0</v>
      </c>
      <c r="C34" s="21"/>
      <c r="D34" s="21"/>
      <c r="E34" s="21"/>
      <c r="F34" s="21">
        <v>0</v>
      </c>
      <c r="G34" s="21"/>
      <c r="H34" s="21"/>
      <c r="I34" s="21"/>
      <c r="J34" s="21"/>
    </row>
    <row r="35" spans="1:10" s="20" customFormat="1" x14ac:dyDescent="0.2">
      <c r="A35" s="20" t="s">
        <v>17</v>
      </c>
      <c r="B35" s="20">
        <v>-13.183</v>
      </c>
      <c r="F35" s="20">
        <v>-2.7730000000000001</v>
      </c>
    </row>
    <row r="36" spans="1:10" s="11" customFormat="1" x14ac:dyDescent="0.2">
      <c r="A36" s="19" t="s">
        <v>16</v>
      </c>
      <c r="B36" s="21">
        <v>-3.3339999999999996</v>
      </c>
      <c r="C36" s="21"/>
      <c r="D36" s="21"/>
      <c r="E36" s="21"/>
      <c r="F36" s="21">
        <v>-4.2060000000000004</v>
      </c>
      <c r="G36" s="21"/>
      <c r="H36" s="21"/>
      <c r="I36" s="21"/>
      <c r="J36" s="21"/>
    </row>
    <row r="37" spans="1:10" s="20" customFormat="1" x14ac:dyDescent="0.2">
      <c r="A37" s="20" t="s">
        <v>15</v>
      </c>
      <c r="B37" s="20">
        <f>+B35+B36</f>
        <v>-16.516999999999999</v>
      </c>
      <c r="F37" s="20">
        <f>+F35+F36</f>
        <v>-6.979000000000001</v>
      </c>
    </row>
    <row r="39" spans="1:10" s="16" customFormat="1" x14ac:dyDescent="0.2">
      <c r="A39" s="18" t="s">
        <v>14</v>
      </c>
      <c r="B39" s="19">
        <v>15</v>
      </c>
      <c r="C39" s="19">
        <v>0</v>
      </c>
      <c r="D39" s="19">
        <v>0</v>
      </c>
      <c r="E39" s="19"/>
      <c r="F39" s="19"/>
      <c r="G39" s="19"/>
      <c r="H39" s="19"/>
      <c r="I39" s="19"/>
      <c r="J39" s="19"/>
    </row>
    <row r="40" spans="1:10" s="16" customFormat="1" x14ac:dyDescent="0.2">
      <c r="A40" s="18" t="s">
        <v>13</v>
      </c>
      <c r="B40" s="19">
        <f>741.8-B39</f>
        <v>726.8</v>
      </c>
      <c r="C40" s="19">
        <v>720</v>
      </c>
      <c r="D40" s="19">
        <v>720</v>
      </c>
      <c r="E40" s="19"/>
      <c r="F40" s="19"/>
      <c r="G40" s="19"/>
      <c r="H40" s="19"/>
      <c r="I40" s="19"/>
      <c r="J40" s="19"/>
    </row>
    <row r="41" spans="1:10" s="16" customFormat="1" x14ac:dyDescent="0.2">
      <c r="A41" s="18" t="s">
        <v>12</v>
      </c>
      <c r="B41" s="19">
        <f>B39+B40</f>
        <v>741.8</v>
      </c>
      <c r="C41" s="19">
        <f>C39+C40</f>
        <v>720</v>
      </c>
      <c r="D41" s="19">
        <f>D39+D40</f>
        <v>720</v>
      </c>
      <c r="E41" s="19"/>
      <c r="F41" s="19"/>
      <c r="G41" s="19"/>
      <c r="H41" s="19"/>
      <c r="I41" s="19"/>
      <c r="J41" s="19"/>
    </row>
    <row r="42" spans="1:10" s="16" customFormat="1" x14ac:dyDescent="0.2">
      <c r="A42" s="18" t="s">
        <v>11</v>
      </c>
      <c r="B42" s="17">
        <v>1291</v>
      </c>
      <c r="C42" s="17">
        <v>1291</v>
      </c>
      <c r="D42" s="17">
        <v>1291</v>
      </c>
      <c r="E42" s="17"/>
      <c r="F42" s="17"/>
      <c r="G42" s="17"/>
      <c r="H42" s="17"/>
      <c r="I42" s="17"/>
      <c r="J42" s="17"/>
    </row>
    <row r="43" spans="1:10" x14ac:dyDescent="0.2">
      <c r="B43" s="16"/>
      <c r="C43" s="16"/>
      <c r="D43" s="16"/>
      <c r="E43" s="16"/>
    </row>
    <row r="44" spans="1:10" x14ac:dyDescent="0.2">
      <c r="A44" s="15" t="s">
        <v>10</v>
      </c>
      <c r="B44" s="27">
        <v>4</v>
      </c>
      <c r="C44" s="27">
        <v>10</v>
      </c>
      <c r="D44" s="27">
        <v>10</v>
      </c>
      <c r="E44" s="27"/>
      <c r="F44" s="27"/>
      <c r="G44" s="27"/>
      <c r="H44" s="27"/>
      <c r="I44" s="14"/>
      <c r="J44" s="14"/>
    </row>
    <row r="46" spans="1:10" x14ac:dyDescent="0.2">
      <c r="A46" s="1" t="s">
        <v>9</v>
      </c>
      <c r="B46" s="13">
        <f>C46+B12-F12</f>
        <v>1005.4630000000002</v>
      </c>
      <c r="C46" s="12">
        <v>964.31000000000006</v>
      </c>
      <c r="D46" s="12">
        <v>1118</v>
      </c>
      <c r="E46" s="11"/>
      <c r="F46" s="11"/>
      <c r="G46" s="11"/>
    </row>
    <row r="47" spans="1:10" x14ac:dyDescent="0.2">
      <c r="A47" s="1" t="s">
        <v>8</v>
      </c>
      <c r="B47" s="13">
        <f>B27</f>
        <v>186</v>
      </c>
      <c r="C47" s="12">
        <v>181</v>
      </c>
      <c r="D47" s="12">
        <v>158.34</v>
      </c>
      <c r="E47" s="11"/>
      <c r="F47" s="11"/>
      <c r="G47" s="11"/>
    </row>
    <row r="48" spans="1:10" x14ac:dyDescent="0.2">
      <c r="A48" s="1" t="s">
        <v>7</v>
      </c>
      <c r="B48" s="13">
        <f>C48+B37-F37</f>
        <v>-1.5629999999999971</v>
      </c>
      <c r="C48" s="12">
        <v>7.9750000000000014</v>
      </c>
      <c r="D48" s="12">
        <v>92.012</v>
      </c>
      <c r="E48" s="11"/>
      <c r="F48" s="11"/>
      <c r="G48" s="11"/>
    </row>
    <row r="50" spans="1:10" s="10" customFormat="1" x14ac:dyDescent="0.2">
      <c r="A50" s="10" t="s">
        <v>6</v>
      </c>
      <c r="B50" s="10">
        <f>+SUM(B39:B40)/B47</f>
        <v>3.9881720430107523</v>
      </c>
      <c r="C50" s="10">
        <f>+SUM(C39:C40)/C47</f>
        <v>3.9779005524861879</v>
      </c>
      <c r="D50" s="10">
        <f>+SUM(D39:D40)/D47</f>
        <v>4.5471769609700647</v>
      </c>
    </row>
    <row r="51" spans="1:10" s="10" customFormat="1" x14ac:dyDescent="0.2">
      <c r="A51" s="10" t="s">
        <v>5</v>
      </c>
      <c r="B51" s="10">
        <f>+B41/B47</f>
        <v>3.9881720430107523</v>
      </c>
      <c r="C51" s="10">
        <f>+C41/C47</f>
        <v>3.9779005524861879</v>
      </c>
      <c r="D51" s="10">
        <f>+D41/D47</f>
        <v>4.5471769609700647</v>
      </c>
    </row>
    <row r="52" spans="1:10" s="10" customFormat="1" x14ac:dyDescent="0.2">
      <c r="A52" s="10" t="s">
        <v>4</v>
      </c>
      <c r="B52" s="10">
        <f>+(B41-B44)/B47</f>
        <v>3.9666666666666663</v>
      </c>
      <c r="C52" s="10">
        <f>+(C41-C44)/C47</f>
        <v>3.9226519337016574</v>
      </c>
      <c r="D52" s="10">
        <f>+(D41-D44)/D47</f>
        <v>4.4840217254010355</v>
      </c>
    </row>
    <row r="53" spans="1:10" s="6" customFormat="1" x14ac:dyDescent="0.2">
      <c r="A53" s="6" t="s">
        <v>3</v>
      </c>
      <c r="B53" s="6">
        <f>+B48/B41</f>
        <v>-2.107036937179829E-3</v>
      </c>
      <c r="C53" s="6">
        <f>+C48/C41</f>
        <v>1.1076388888888891E-2</v>
      </c>
      <c r="D53" s="6">
        <f>+D48/D41</f>
        <v>0.12779444444444443</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10.907526881720431</v>
      </c>
      <c r="C55" s="7">
        <f>IF(C42=0,IF(C54="","","*"&amp;TEXT(C54,"0.0x")),(C41+C42-C44)/C47)</f>
        <v>11.05524861878453</v>
      </c>
      <c r="D55" s="7">
        <f>IF(D42=0,IF(D54="","","*"&amp;TEXT(D54,"0.0x")),(D41+D42-D44)/D47)</f>
        <v>12.637362637362637</v>
      </c>
      <c r="E55" s="7"/>
      <c r="F55" s="7"/>
      <c r="G55" s="7"/>
      <c r="H55" s="7"/>
      <c r="I55" s="7" t="str">
        <f t="shared" ref="I55:J55" si="5">IF(I42=0,IF(I54="","",CONCATENATE("* ",I54,"x")),(I41+I42-I44)/I47)</f>
        <v/>
      </c>
      <c r="J55" s="7" t="str">
        <f t="shared" si="5"/>
        <v/>
      </c>
    </row>
    <row r="56" spans="1:10" x14ac:dyDescent="0.2">
      <c r="G56" s="3"/>
    </row>
    <row r="57" spans="1:10" ht="80.25" customHeight="1" x14ac:dyDescent="0.2">
      <c r="A57" s="5" t="s">
        <v>0</v>
      </c>
      <c r="B57" s="4" t="s">
        <v>104</v>
      </c>
      <c r="C57" s="4" t="s">
        <v>104</v>
      </c>
      <c r="D57" s="4" t="s">
        <v>104</v>
      </c>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EE266-17CC-4307-A266-7E83369EBB0D}">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569</v>
      </c>
    </row>
    <row r="3" spans="1:9" s="35" customFormat="1" x14ac:dyDescent="0.2">
      <c r="A3" s="36" t="s">
        <v>43</v>
      </c>
      <c r="B3" s="35" t="s">
        <v>570</v>
      </c>
    </row>
    <row r="4" spans="1:9" x14ac:dyDescent="0.2">
      <c r="A4" s="34" t="s">
        <v>41</v>
      </c>
      <c r="B4" s="1" t="s">
        <v>40</v>
      </c>
    </row>
    <row r="5" spans="1:9" x14ac:dyDescent="0.2">
      <c r="A5" s="34" t="s">
        <v>39</v>
      </c>
    </row>
    <row r="6" spans="1:9" x14ac:dyDescent="0.2">
      <c r="A6" s="34" t="s">
        <v>38</v>
      </c>
      <c r="B6" s="1">
        <v>4</v>
      </c>
    </row>
    <row r="7" spans="1:9" x14ac:dyDescent="0.2">
      <c r="A7" s="34" t="s">
        <v>37</v>
      </c>
      <c r="B7" s="1" t="s">
        <v>422</v>
      </c>
    </row>
    <row r="8" spans="1:9" x14ac:dyDescent="0.2">
      <c r="A8" s="34" t="s">
        <v>281</v>
      </c>
      <c r="B8" s="1" t="s">
        <v>571</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143</v>
      </c>
      <c r="C39" s="19"/>
      <c r="D39" s="19"/>
      <c r="E39" s="19"/>
      <c r="F39" s="19"/>
      <c r="G39" s="19"/>
      <c r="H39" s="19"/>
      <c r="I39" s="19"/>
    </row>
    <row r="40" spans="1:9" s="16" customFormat="1" x14ac:dyDescent="0.2">
      <c r="A40" s="18" t="s">
        <v>13</v>
      </c>
      <c r="B40" s="19">
        <v>875</v>
      </c>
      <c r="C40" s="19"/>
      <c r="D40" s="19"/>
      <c r="E40" s="19"/>
      <c r="F40" s="19"/>
      <c r="G40" s="19"/>
      <c r="H40" s="19"/>
      <c r="I40" s="19"/>
    </row>
    <row r="41" spans="1:9" s="16" customFormat="1" x14ac:dyDescent="0.2">
      <c r="A41" s="18" t="s">
        <v>12</v>
      </c>
      <c r="B41" s="19">
        <f>B39+B40+450</f>
        <v>1468</v>
      </c>
      <c r="C41" s="19"/>
      <c r="D41" s="19"/>
      <c r="E41" s="19"/>
      <c r="F41" s="19"/>
      <c r="G41" s="19"/>
      <c r="H41" s="19"/>
      <c r="I41" s="19"/>
    </row>
    <row r="42" spans="1:9" s="16" customFormat="1" x14ac:dyDescent="0.2">
      <c r="A42" s="18" t="s">
        <v>11</v>
      </c>
      <c r="B42" s="17">
        <v>3097</v>
      </c>
      <c r="C42" s="17"/>
      <c r="D42" s="17"/>
      <c r="E42" s="17"/>
      <c r="F42" s="17"/>
      <c r="G42" s="17"/>
      <c r="H42" s="17"/>
      <c r="I42" s="17"/>
    </row>
    <row r="43" spans="1:9" x14ac:dyDescent="0.2">
      <c r="B43" s="16"/>
      <c r="C43" s="16"/>
      <c r="D43" s="16"/>
    </row>
    <row r="44" spans="1:9" x14ac:dyDescent="0.2">
      <c r="A44" s="15" t="s">
        <v>10</v>
      </c>
      <c r="B44" s="27">
        <v>143</v>
      </c>
      <c r="C44" s="27"/>
      <c r="D44" s="27"/>
      <c r="E44" s="27"/>
      <c r="F44" s="27"/>
      <c r="G44" s="27"/>
      <c r="H44" s="14"/>
      <c r="I44" s="14"/>
    </row>
    <row r="46" spans="1:9" x14ac:dyDescent="0.2">
      <c r="A46" s="1" t="s">
        <v>9</v>
      </c>
      <c r="B46" s="12">
        <v>4060</v>
      </c>
      <c r="C46" s="11"/>
      <c r="D46" s="11"/>
      <c r="E46" s="11"/>
      <c r="F46" s="11"/>
    </row>
    <row r="47" spans="1:9" x14ac:dyDescent="0.2">
      <c r="A47" s="1" t="s">
        <v>8</v>
      </c>
      <c r="B47" s="12">
        <v>545.73900000000003</v>
      </c>
      <c r="C47" s="11"/>
      <c r="D47" s="11"/>
      <c r="E47" s="11"/>
      <c r="F47" s="11"/>
    </row>
    <row r="48" spans="1:9" x14ac:dyDescent="0.2">
      <c r="A48" s="1" t="s">
        <v>7</v>
      </c>
      <c r="B48" s="12">
        <v>174.55250000000012</v>
      </c>
      <c r="C48" s="11"/>
      <c r="D48" s="11"/>
      <c r="E48" s="11"/>
      <c r="F48" s="11"/>
    </row>
    <row r="50" spans="1:9" s="10" customFormat="1" x14ac:dyDescent="0.2">
      <c r="A50" s="10" t="s">
        <v>6</v>
      </c>
      <c r="B50" s="10">
        <f>+SUM(B39:B40)/B47</f>
        <v>1.8653605478076516</v>
      </c>
    </row>
    <row r="51" spans="1:9" s="10" customFormat="1" x14ac:dyDescent="0.2">
      <c r="A51" s="10" t="s">
        <v>5</v>
      </c>
      <c r="B51" s="10">
        <f>+B41/B47</f>
        <v>2.6899305345595605</v>
      </c>
    </row>
    <row r="52" spans="1:9" s="10" customFormat="1" x14ac:dyDescent="0.2">
      <c r="A52" s="10" t="s">
        <v>4</v>
      </c>
      <c r="B52" s="10">
        <f>+(B41-B44)/B47</f>
        <v>2.4279005165472869</v>
      </c>
    </row>
    <row r="53" spans="1:9" s="6" customFormat="1" x14ac:dyDescent="0.2">
      <c r="A53" s="6" t="s">
        <v>3</v>
      </c>
      <c r="B53" s="6">
        <f>+B48/B41</f>
        <v>0.11890497275204367</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8.1027744031487572</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1B7D1-5129-40C3-8716-45E5B0EC9287}">
  <dimension ref="A2:K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1" width="10.7109375" style="1" customWidth="1"/>
    <col min="12" max="16384" width="9.140625" style="1"/>
  </cols>
  <sheetData>
    <row r="2" spans="1:11" x14ac:dyDescent="0.2">
      <c r="A2" s="34" t="s">
        <v>45</v>
      </c>
      <c r="B2" s="1" t="s">
        <v>572</v>
      </c>
    </row>
    <row r="3" spans="1:11" s="35" customFormat="1" x14ac:dyDescent="0.2">
      <c r="A3" s="36" t="s">
        <v>43</v>
      </c>
      <c r="B3" s="35" t="s">
        <v>575</v>
      </c>
    </row>
    <row r="4" spans="1:11" x14ac:dyDescent="0.2">
      <c r="A4" s="34" t="s">
        <v>41</v>
      </c>
      <c r="B4" s="1" t="s">
        <v>40</v>
      </c>
    </row>
    <row r="5" spans="1:11" x14ac:dyDescent="0.2">
      <c r="A5" s="34" t="s">
        <v>39</v>
      </c>
    </row>
    <row r="6" spans="1:11" x14ac:dyDescent="0.2">
      <c r="A6" s="34" t="s">
        <v>38</v>
      </c>
      <c r="B6" s="1">
        <v>4</v>
      </c>
    </row>
    <row r="7" spans="1:11" x14ac:dyDescent="0.2">
      <c r="A7" s="34" t="s">
        <v>37</v>
      </c>
      <c r="B7" s="1" t="s">
        <v>402</v>
      </c>
    </row>
    <row r="8" spans="1:11" x14ac:dyDescent="0.2">
      <c r="A8" s="34" t="s">
        <v>281</v>
      </c>
      <c r="B8" s="1" t="s">
        <v>574</v>
      </c>
    </row>
    <row r="9" spans="1:11" x14ac:dyDescent="0.2">
      <c r="A9" s="22"/>
    </row>
    <row r="10" spans="1:11" x14ac:dyDescent="0.2">
      <c r="A10" s="22" t="s">
        <v>36</v>
      </c>
      <c r="B10" s="33">
        <v>44377</v>
      </c>
      <c r="C10" s="33">
        <v>44286</v>
      </c>
      <c r="D10" s="33">
        <v>44196</v>
      </c>
      <c r="E10" s="33">
        <f>EOMONTH(D10,-3)</f>
        <v>44104</v>
      </c>
      <c r="F10" s="33">
        <f t="shared" ref="F10:K10" si="0">EOMONTH(E10,-3)</f>
        <v>44012</v>
      </c>
      <c r="G10" s="33">
        <f t="shared" si="0"/>
        <v>43921</v>
      </c>
      <c r="H10" s="33">
        <f t="shared" si="0"/>
        <v>43830</v>
      </c>
      <c r="I10" s="33">
        <f t="shared" si="0"/>
        <v>43738</v>
      </c>
      <c r="J10" s="33">
        <f t="shared" si="0"/>
        <v>43646</v>
      </c>
      <c r="K10" s="33">
        <f t="shared" si="0"/>
        <v>43555</v>
      </c>
    </row>
    <row r="12" spans="1:11" x14ac:dyDescent="0.2">
      <c r="A12" s="15" t="s">
        <v>35</v>
      </c>
      <c r="B12" s="19">
        <v>508.077</v>
      </c>
      <c r="C12" s="19">
        <v>433.27700000000004</v>
      </c>
      <c r="D12" s="19"/>
      <c r="E12" s="19"/>
      <c r="F12" s="19">
        <v>348.65600000000001</v>
      </c>
      <c r="G12" s="19">
        <v>339.66200000000003</v>
      </c>
      <c r="H12" s="19"/>
      <c r="I12" s="19"/>
      <c r="J12" s="19"/>
      <c r="K12" s="19"/>
    </row>
    <row r="13" spans="1:11" s="28" customFormat="1" x14ac:dyDescent="0.2">
      <c r="A13" s="28" t="s">
        <v>34</v>
      </c>
      <c r="B13" s="28">
        <f>+B12/F12-1</f>
        <v>0.45724438988573257</v>
      </c>
      <c r="C13" s="28">
        <f>+C12/G12-1</f>
        <v>0.27561222627199977</v>
      </c>
    </row>
    <row r="14" spans="1:11" s="23" customFormat="1" x14ac:dyDescent="0.2">
      <c r="A14" s="31" t="s">
        <v>33</v>
      </c>
      <c r="B14" s="32" t="s">
        <v>32</v>
      </c>
      <c r="C14" s="32" t="s">
        <v>32</v>
      </c>
      <c r="D14" s="32"/>
      <c r="E14" s="32"/>
      <c r="F14" s="32"/>
      <c r="G14" s="32"/>
      <c r="H14" s="31"/>
      <c r="I14" s="31"/>
      <c r="J14" s="31"/>
      <c r="K14" s="31"/>
    </row>
    <row r="16" spans="1:11" s="22" customFormat="1" x14ac:dyDescent="0.2">
      <c r="A16" s="30" t="s">
        <v>31</v>
      </c>
      <c r="B16" s="29">
        <v>73.558000000000007</v>
      </c>
      <c r="C16" s="29">
        <v>54.722999999999999</v>
      </c>
      <c r="D16" s="29"/>
      <c r="E16" s="29"/>
      <c r="F16" s="29">
        <v>62.472000000000001</v>
      </c>
      <c r="G16" s="29">
        <v>26.349</v>
      </c>
      <c r="H16" s="29"/>
      <c r="I16" s="29"/>
      <c r="J16" s="29"/>
      <c r="K16" s="29"/>
    </row>
    <row r="17" spans="1:11" s="28" customFormat="1" x14ac:dyDescent="0.2">
      <c r="A17" s="28" t="s">
        <v>30</v>
      </c>
      <c r="B17" s="28">
        <f t="shared" ref="B17" si="1">+B16/B12</f>
        <v>0.14477726801252566</v>
      </c>
      <c r="C17" s="28">
        <f>+C16/C12</f>
        <v>0.12630026518832063</v>
      </c>
      <c r="F17" s="28">
        <f t="shared" ref="F17:G17" si="2">+F16/F12</f>
        <v>0.1791794777660502</v>
      </c>
      <c r="G17" s="28">
        <f t="shared" si="2"/>
        <v>7.7574176681524568E-2</v>
      </c>
    </row>
    <row r="18" spans="1:11" s="23" customFormat="1" x14ac:dyDescent="0.2"/>
    <row r="19" spans="1:11" s="23" customFormat="1" x14ac:dyDescent="0.2">
      <c r="A19" s="15" t="s">
        <v>29</v>
      </c>
      <c r="B19" s="19">
        <v>0</v>
      </c>
      <c r="C19" s="19">
        <v>0</v>
      </c>
      <c r="D19" s="19"/>
      <c r="E19" s="19"/>
      <c r="F19" s="19">
        <v>0</v>
      </c>
      <c r="G19" s="19">
        <v>0</v>
      </c>
      <c r="H19" s="19"/>
      <c r="I19" s="19"/>
      <c r="J19" s="19"/>
      <c r="K19" s="19"/>
    </row>
    <row r="20" spans="1:11" s="23" customFormat="1" x14ac:dyDescent="0.2">
      <c r="A20" s="15" t="s">
        <v>28</v>
      </c>
      <c r="B20" s="19">
        <v>0</v>
      </c>
      <c r="C20" s="19">
        <v>0</v>
      </c>
      <c r="D20" s="19"/>
      <c r="E20" s="19"/>
      <c r="F20" s="19">
        <v>0</v>
      </c>
      <c r="G20" s="19">
        <v>0</v>
      </c>
      <c r="H20" s="19"/>
      <c r="I20" s="19"/>
      <c r="J20" s="19"/>
      <c r="K20" s="19"/>
    </row>
    <row r="21" spans="1:11" s="23" customFormat="1" x14ac:dyDescent="0.2">
      <c r="A21" s="15" t="s">
        <v>18</v>
      </c>
      <c r="B21" s="19">
        <v>0</v>
      </c>
      <c r="C21" s="19">
        <v>0</v>
      </c>
      <c r="D21" s="19"/>
      <c r="E21" s="19"/>
      <c r="F21" s="19">
        <v>0</v>
      </c>
      <c r="G21" s="19">
        <v>0</v>
      </c>
      <c r="H21" s="19"/>
      <c r="I21" s="19"/>
      <c r="J21" s="19"/>
      <c r="K21" s="19"/>
    </row>
    <row r="22" spans="1:11" s="22" customFormat="1" x14ac:dyDescent="0.2">
      <c r="A22" s="22" t="s">
        <v>23</v>
      </c>
      <c r="B22" s="20">
        <f t="shared" ref="B22" si="3">SUM(B16,B19:B21)</f>
        <v>73.558000000000007</v>
      </c>
      <c r="C22" s="20">
        <f>SUM(C16,C19:C21)</f>
        <v>54.722999999999999</v>
      </c>
      <c r="D22" s="20"/>
      <c r="E22" s="20"/>
      <c r="F22" s="20">
        <f t="shared" ref="F22:G22" si="4">SUM(F16,F19:F21)</f>
        <v>62.472000000000001</v>
      </c>
      <c r="G22" s="20">
        <f t="shared" si="4"/>
        <v>26.349</v>
      </c>
      <c r="H22" s="20"/>
      <c r="I22" s="20"/>
      <c r="J22" s="20"/>
      <c r="K22" s="20"/>
    </row>
    <row r="23" spans="1:11" s="22" customFormat="1" x14ac:dyDescent="0.2">
      <c r="B23" s="20"/>
      <c r="C23" s="20"/>
      <c r="D23" s="20"/>
      <c r="E23" s="20"/>
      <c r="F23" s="20"/>
      <c r="G23" s="20"/>
      <c r="H23" s="20"/>
      <c r="I23" s="20"/>
      <c r="J23" s="20"/>
      <c r="K23" s="20"/>
    </row>
    <row r="24" spans="1:11" s="22" customFormat="1" x14ac:dyDescent="0.2">
      <c r="A24" s="22" t="s">
        <v>27</v>
      </c>
      <c r="B24" s="61">
        <v>281.69200000000001</v>
      </c>
      <c r="C24" s="61">
        <v>238.79300000000001</v>
      </c>
      <c r="D24" s="20"/>
      <c r="E24" s="20"/>
      <c r="F24" s="20"/>
      <c r="G24" s="20"/>
      <c r="H24" s="20"/>
      <c r="I24" s="20"/>
      <c r="J24" s="20"/>
      <c r="K24" s="20"/>
    </row>
    <row r="25" spans="1:11" s="23" customFormat="1" x14ac:dyDescent="0.2">
      <c r="A25" s="15" t="s">
        <v>26</v>
      </c>
      <c r="B25" s="27">
        <v>0</v>
      </c>
      <c r="C25" s="27">
        <v>0</v>
      </c>
      <c r="D25" s="27"/>
      <c r="E25" s="27"/>
      <c r="F25" s="27"/>
      <c r="G25" s="27"/>
      <c r="H25" s="27"/>
      <c r="I25" s="27"/>
      <c r="J25" s="27"/>
      <c r="K25" s="27"/>
    </row>
    <row r="26" spans="1:11" s="23" customFormat="1" x14ac:dyDescent="0.2">
      <c r="A26" s="15" t="s">
        <v>25</v>
      </c>
      <c r="B26" s="21">
        <v>0</v>
      </c>
      <c r="C26" s="21">
        <v>0</v>
      </c>
      <c r="D26" s="21"/>
      <c r="E26" s="21"/>
      <c r="F26" s="21"/>
      <c r="G26" s="21"/>
      <c r="H26" s="21"/>
      <c r="I26" s="26"/>
      <c r="J26" s="26"/>
      <c r="K26" s="26"/>
    </row>
    <row r="27" spans="1:11" s="24" customFormat="1" x14ac:dyDescent="0.2">
      <c r="A27" s="22" t="s">
        <v>24</v>
      </c>
      <c r="B27" s="20">
        <f>SUM(B24:B26)</f>
        <v>281.69200000000001</v>
      </c>
      <c r="C27" s="20">
        <f>SUM(C24:C26)</f>
        <v>238.79300000000001</v>
      </c>
      <c r="D27" s="20"/>
      <c r="E27" s="20"/>
      <c r="F27" s="20"/>
      <c r="G27" s="20"/>
      <c r="H27" s="20"/>
      <c r="I27" s="25"/>
      <c r="J27" s="25"/>
      <c r="K27" s="25"/>
    </row>
    <row r="28" spans="1:11" s="23" customFormat="1" x14ac:dyDescent="0.2"/>
    <row r="29" spans="1:11" s="22" customFormat="1" x14ac:dyDescent="0.2">
      <c r="A29" s="22" t="s">
        <v>23</v>
      </c>
      <c r="B29" s="20">
        <f t="shared" ref="B29:C29" si="5">B22</f>
        <v>73.558000000000007</v>
      </c>
      <c r="C29" s="20">
        <f t="shared" si="5"/>
        <v>54.722999999999999</v>
      </c>
      <c r="D29" s="20"/>
      <c r="E29" s="20"/>
      <c r="F29" s="20"/>
      <c r="G29" s="20">
        <f t="shared" ref="G29" si="6">G22</f>
        <v>26.349</v>
      </c>
      <c r="H29" s="20"/>
      <c r="I29" s="20"/>
      <c r="J29" s="20"/>
      <c r="K29" s="20"/>
    </row>
    <row r="30" spans="1:11" s="11" customFormat="1" x14ac:dyDescent="0.2">
      <c r="A30" s="19" t="s">
        <v>22</v>
      </c>
      <c r="B30" s="19">
        <v>-21.256</v>
      </c>
      <c r="C30" s="19">
        <v>-26.065999999999999</v>
      </c>
      <c r="D30" s="19"/>
      <c r="E30" s="19"/>
      <c r="F30" s="19">
        <v>-12.590999999999999</v>
      </c>
      <c r="G30" s="19">
        <v>-12.728999999999999</v>
      </c>
      <c r="H30" s="19"/>
      <c r="I30" s="19"/>
      <c r="J30" s="19"/>
      <c r="K30" s="19"/>
    </row>
    <row r="31" spans="1:11" s="11" customFormat="1" x14ac:dyDescent="0.2">
      <c r="A31" s="19" t="s">
        <v>21</v>
      </c>
      <c r="B31" s="19">
        <v>-7.9450000000000003</v>
      </c>
      <c r="C31" s="19">
        <v>13.147</v>
      </c>
      <c r="D31" s="19"/>
      <c r="E31" s="19"/>
      <c r="F31" s="19">
        <v>-3.8370000000000002</v>
      </c>
      <c r="G31" s="19">
        <v>-2.0910000000000002</v>
      </c>
      <c r="H31" s="19"/>
      <c r="I31" s="19"/>
      <c r="J31" s="19"/>
      <c r="K31" s="19"/>
    </row>
    <row r="32" spans="1:11" s="11" customFormat="1" x14ac:dyDescent="0.2">
      <c r="A32" s="19" t="s">
        <v>20</v>
      </c>
      <c r="B32" s="19">
        <v>-4.7940000000000182</v>
      </c>
      <c r="C32" s="19">
        <v>-37.626999999999988</v>
      </c>
      <c r="D32" s="19"/>
      <c r="E32" s="19"/>
      <c r="F32" s="19">
        <v>-62.511999999999993</v>
      </c>
      <c r="G32" s="19">
        <v>63.203999999999994</v>
      </c>
      <c r="H32" s="19"/>
      <c r="I32" s="19"/>
      <c r="J32" s="19"/>
      <c r="K32" s="19"/>
    </row>
    <row r="33" spans="1:11" s="11" customFormat="1" x14ac:dyDescent="0.2">
      <c r="A33" s="19" t="s">
        <v>19</v>
      </c>
      <c r="B33" s="19">
        <v>0</v>
      </c>
      <c r="C33" s="19">
        <v>0</v>
      </c>
      <c r="D33" s="19"/>
      <c r="E33" s="19"/>
      <c r="F33" s="19">
        <v>0</v>
      </c>
      <c r="G33" s="19">
        <v>0</v>
      </c>
      <c r="H33" s="19"/>
      <c r="I33" s="19"/>
      <c r="J33" s="19"/>
      <c r="K33" s="19"/>
    </row>
    <row r="34" spans="1:11" s="11" customFormat="1" x14ac:dyDescent="0.2">
      <c r="A34" s="19" t="s">
        <v>18</v>
      </c>
      <c r="B34" s="21">
        <v>0</v>
      </c>
      <c r="C34" s="21">
        <v>0</v>
      </c>
      <c r="D34" s="21"/>
      <c r="E34" s="21"/>
      <c r="F34" s="21">
        <v>0</v>
      </c>
      <c r="G34" s="21">
        <v>0</v>
      </c>
      <c r="H34" s="21"/>
      <c r="I34" s="21"/>
      <c r="J34" s="21"/>
      <c r="K34" s="21"/>
    </row>
    <row r="35" spans="1:11" s="20" customFormat="1" x14ac:dyDescent="0.2">
      <c r="A35" s="20" t="s">
        <v>17</v>
      </c>
      <c r="B35" s="20">
        <v>14.146000000000001</v>
      </c>
      <c r="C35" s="20">
        <v>0.60599999999999998</v>
      </c>
      <c r="F35" s="20">
        <v>-7.5609999999999999</v>
      </c>
      <c r="G35" s="20">
        <v>39.4</v>
      </c>
    </row>
    <row r="36" spans="1:11" s="11" customFormat="1" x14ac:dyDescent="0.2">
      <c r="A36" s="19" t="s">
        <v>16</v>
      </c>
      <c r="B36" s="21">
        <v>-2.7140000000000004</v>
      </c>
      <c r="C36" s="21">
        <v>-2.3029999999999999</v>
      </c>
      <c r="D36" s="21"/>
      <c r="E36" s="21"/>
      <c r="F36" s="21">
        <v>-2.0289999999999999</v>
      </c>
      <c r="G36" s="21">
        <v>-1.1559999999999999</v>
      </c>
      <c r="H36" s="21"/>
      <c r="I36" s="21"/>
      <c r="J36" s="21"/>
      <c r="K36" s="21"/>
    </row>
    <row r="37" spans="1:11" s="20" customFormat="1" x14ac:dyDescent="0.2">
      <c r="A37" s="20" t="s">
        <v>15</v>
      </c>
      <c r="B37" s="20">
        <f>+B35+B36</f>
        <v>11.432</v>
      </c>
      <c r="C37" s="20">
        <f>+C35+C36</f>
        <v>-1.6970000000000001</v>
      </c>
      <c r="F37" s="20">
        <f t="shared" ref="F37:G37" si="7">+F35+F36</f>
        <v>-9.59</v>
      </c>
      <c r="G37" s="20">
        <f t="shared" si="7"/>
        <v>38.244</v>
      </c>
    </row>
    <row r="39" spans="1:11" s="16" customFormat="1" x14ac:dyDescent="0.2">
      <c r="A39" s="18" t="s">
        <v>14</v>
      </c>
      <c r="B39" s="19">
        <v>0</v>
      </c>
      <c r="C39" s="19">
        <v>0</v>
      </c>
      <c r="D39" s="19">
        <v>25</v>
      </c>
      <c r="E39" s="19">
        <v>25</v>
      </c>
      <c r="F39" s="19"/>
      <c r="G39" s="19"/>
      <c r="H39" s="19"/>
      <c r="I39" s="19"/>
      <c r="J39" s="19"/>
      <c r="K39" s="19"/>
    </row>
    <row r="40" spans="1:11" s="16" customFormat="1" x14ac:dyDescent="0.2">
      <c r="A40" s="18" t="s">
        <v>13</v>
      </c>
      <c r="B40" s="19">
        <v>1102.845</v>
      </c>
      <c r="C40" s="19">
        <v>1102.413</v>
      </c>
      <c r="D40" s="19">
        <v>1095</v>
      </c>
      <c r="E40" s="19">
        <v>1105</v>
      </c>
      <c r="F40" s="19"/>
      <c r="G40" s="19"/>
      <c r="H40" s="19"/>
      <c r="I40" s="19"/>
      <c r="J40" s="19"/>
      <c r="K40" s="19"/>
    </row>
    <row r="41" spans="1:11" s="16" customFormat="1" x14ac:dyDescent="0.2">
      <c r="A41" s="18" t="s">
        <v>12</v>
      </c>
      <c r="B41" s="19">
        <f>B39+B40+400+340</f>
        <v>1842.845</v>
      </c>
      <c r="C41" s="19">
        <f>C39+C40+400</f>
        <v>1502.413</v>
      </c>
      <c r="D41" s="19">
        <f>D39+D40+345</f>
        <v>1465</v>
      </c>
      <c r="E41" s="19">
        <f>E39+E40+345</f>
        <v>1475</v>
      </c>
      <c r="F41" s="19"/>
      <c r="G41" s="19"/>
      <c r="H41" s="19"/>
      <c r="I41" s="19"/>
      <c r="J41" s="19"/>
      <c r="K41" s="19"/>
    </row>
    <row r="42" spans="1:11" s="16" customFormat="1" x14ac:dyDescent="0.2">
      <c r="A42" s="18" t="s">
        <v>11</v>
      </c>
      <c r="B42" s="17">
        <v>724</v>
      </c>
      <c r="C42" s="17">
        <v>724</v>
      </c>
      <c r="D42" s="17">
        <v>724</v>
      </c>
      <c r="E42" s="17">
        <v>724</v>
      </c>
      <c r="F42" s="17"/>
      <c r="G42" s="17"/>
      <c r="H42" s="17"/>
      <c r="I42" s="17"/>
      <c r="J42" s="17"/>
      <c r="K42" s="17"/>
    </row>
    <row r="43" spans="1:11" x14ac:dyDescent="0.2">
      <c r="B43" s="16"/>
      <c r="C43" s="16"/>
      <c r="D43" s="16"/>
      <c r="E43" s="16"/>
      <c r="F43" s="16"/>
    </row>
    <row r="44" spans="1:11" x14ac:dyDescent="0.2">
      <c r="A44" s="15" t="s">
        <v>10</v>
      </c>
      <c r="B44" s="27">
        <v>18.512</v>
      </c>
      <c r="C44" s="27">
        <v>17.943000000000001</v>
      </c>
      <c r="D44" s="27">
        <v>24.140999999999998</v>
      </c>
      <c r="E44" s="27">
        <v>40</v>
      </c>
      <c r="F44" s="27"/>
      <c r="G44" s="27"/>
      <c r="H44" s="27"/>
      <c r="I44" s="27"/>
      <c r="J44" s="14"/>
      <c r="K44" s="14"/>
    </row>
    <row r="46" spans="1:11" x14ac:dyDescent="0.2">
      <c r="A46" s="1" t="s">
        <v>9</v>
      </c>
      <c r="B46" s="13">
        <f>C46+B12-F12</f>
        <v>1704.1480000000001</v>
      </c>
      <c r="C46" s="13">
        <f>D46+C12-G12</f>
        <v>1544.7270000000001</v>
      </c>
      <c r="D46" s="12">
        <v>1451.1120000000001</v>
      </c>
      <c r="E46" s="12">
        <v>1677.9</v>
      </c>
      <c r="F46" s="11"/>
      <c r="G46" s="11"/>
      <c r="H46" s="11"/>
    </row>
    <row r="47" spans="1:11" x14ac:dyDescent="0.2">
      <c r="A47" s="1" t="s">
        <v>8</v>
      </c>
      <c r="B47" s="13">
        <f>B27</f>
        <v>281.69200000000001</v>
      </c>
      <c r="C47" s="13">
        <f>C27</f>
        <v>238.79300000000001</v>
      </c>
      <c r="D47" s="12">
        <v>228.24</v>
      </c>
      <c r="E47" s="12">
        <v>218.6</v>
      </c>
      <c r="F47" s="11"/>
      <c r="G47" s="11"/>
      <c r="H47" s="11"/>
    </row>
    <row r="48" spans="1:11" x14ac:dyDescent="0.2">
      <c r="A48" s="1" t="s">
        <v>7</v>
      </c>
      <c r="B48" s="13">
        <f>C48+B37-F37</f>
        <v>-27.433999999999994</v>
      </c>
      <c r="C48" s="13">
        <f>D48+C37-G37</f>
        <v>-48.455999999999996</v>
      </c>
      <c r="D48" s="12">
        <v>-8.5149999999999952</v>
      </c>
      <c r="E48" s="12">
        <v>63.622499999999974</v>
      </c>
      <c r="F48" s="11"/>
      <c r="G48" s="11"/>
      <c r="H48" s="11"/>
    </row>
    <row r="50" spans="1:11" s="10" customFormat="1" x14ac:dyDescent="0.2">
      <c r="A50" s="10" t="s">
        <v>6</v>
      </c>
      <c r="B50" s="10">
        <f>+SUM(B39:B40)/B47</f>
        <v>3.9150739105121906</v>
      </c>
      <c r="C50" s="10">
        <f>+SUM(C39:C40)/C47</f>
        <v>4.6166051768686689</v>
      </c>
      <c r="D50" s="10">
        <f>+SUM(D39:D40)/D47</f>
        <v>4.9071153172099544</v>
      </c>
      <c r="E50" s="10">
        <f>+SUM(E39:E40)/E47</f>
        <v>5.1692589204025623</v>
      </c>
    </row>
    <row r="51" spans="1:11" s="10" customFormat="1" x14ac:dyDescent="0.2">
      <c r="A51" s="10" t="s">
        <v>5</v>
      </c>
      <c r="B51" s="10">
        <f>+B41/B47</f>
        <v>6.5420565724266222</v>
      </c>
      <c r="C51" s="10">
        <f>+C41/C47</f>
        <v>6.2916961552474318</v>
      </c>
      <c r="D51" s="10">
        <f>+D41/D47</f>
        <v>6.4186820890290921</v>
      </c>
      <c r="E51" s="10">
        <f>+E41/E47</f>
        <v>6.7474839890210427</v>
      </c>
    </row>
    <row r="52" spans="1:11" s="10" customFormat="1" x14ac:dyDescent="0.2">
      <c r="A52" s="10" t="s">
        <v>4</v>
      </c>
      <c r="B52" s="10">
        <f>+(B41-B44)/B47</f>
        <v>6.4763394061599193</v>
      </c>
      <c r="C52" s="10">
        <f>+(C41-C44)/C47</f>
        <v>6.2165557616848064</v>
      </c>
      <c r="D52" s="10">
        <f>+(D41-D44)/D47</f>
        <v>6.312911847178408</v>
      </c>
      <c r="E52" s="10">
        <f>+(E41-E44)/E47</f>
        <v>6.5645013723696248</v>
      </c>
    </row>
    <row r="53" spans="1:11" s="6" customFormat="1" x14ac:dyDescent="0.2">
      <c r="A53" s="6" t="s">
        <v>3</v>
      </c>
      <c r="B53" s="6">
        <f>+B48/B41</f>
        <v>-1.4886764757752276E-2</v>
      </c>
      <c r="C53" s="6">
        <f>+C48/C41</f>
        <v>-3.2252117094300967E-2</v>
      </c>
      <c r="D53" s="6">
        <f>+D48/D41</f>
        <v>-5.8122866894197919E-3</v>
      </c>
      <c r="E53" s="6">
        <f>+E48/E41</f>
        <v>4.3133898305084725E-2</v>
      </c>
    </row>
    <row r="54" spans="1:11" s="6" customFormat="1" x14ac:dyDescent="0.2">
      <c r="A54" s="8" t="s">
        <v>2</v>
      </c>
      <c r="B54" s="9"/>
      <c r="C54" s="9"/>
      <c r="D54" s="9"/>
      <c r="E54" s="9"/>
      <c r="F54" s="9"/>
      <c r="G54" s="9"/>
      <c r="H54" s="9"/>
      <c r="I54" s="8"/>
      <c r="J54" s="8"/>
      <c r="K54" s="8"/>
    </row>
    <row r="55" spans="1:11" s="6" customFormat="1" x14ac:dyDescent="0.2">
      <c r="A55" s="6" t="s">
        <v>1</v>
      </c>
      <c r="B55" s="7">
        <f>IF(B42=0,IF(B54="","","*"&amp;TEXT(B54,"0.0x")),(B41+B42-B44)/B47)</f>
        <v>9.0465224429518774</v>
      </c>
      <c r="C55" s="7">
        <f>IF(C42=0,IF(C54="","","*"&amp;TEXT(C54,"0.0x")),(C41+C42-C44)/C47)</f>
        <v>9.2484704325503664</v>
      </c>
      <c r="D55" s="7">
        <f>IF(D42=0,IF(D54="","","*"&amp;TEXT(D54,"0.0x")),(D41+D42-D44)/D47)</f>
        <v>9.4850113915177001</v>
      </c>
      <c r="E55" s="7">
        <f>IF(E42=0,IF(E54="","","*"&amp;TEXT(E54,"0.0x")),(E41+E42-E44)/E47)</f>
        <v>9.8764867337602933</v>
      </c>
      <c r="F55" s="7"/>
      <c r="G55" s="7"/>
      <c r="H55" s="7"/>
      <c r="I55" s="7" t="str">
        <f t="shared" ref="I55:K55" si="8">IF(I42=0,IF(I54="","",CONCATENATE("* ",I54,"x")),(I41+I42-I44)/I47)</f>
        <v/>
      </c>
      <c r="J55" s="7" t="str">
        <f t="shared" si="8"/>
        <v/>
      </c>
      <c r="K55" s="7" t="str">
        <f t="shared" si="8"/>
        <v/>
      </c>
    </row>
    <row r="56" spans="1:11" x14ac:dyDescent="0.2">
      <c r="H56" s="3"/>
    </row>
    <row r="57" spans="1:11" ht="80.25" customHeight="1" x14ac:dyDescent="0.2">
      <c r="A57" s="5" t="s">
        <v>0</v>
      </c>
      <c r="B57" s="4" t="s">
        <v>104</v>
      </c>
      <c r="C57" s="4" t="s">
        <v>104</v>
      </c>
      <c r="D57" s="4" t="s">
        <v>104</v>
      </c>
      <c r="E57" s="4" t="s">
        <v>104</v>
      </c>
      <c r="F57" s="4"/>
      <c r="G57" s="4"/>
      <c r="H57" s="4"/>
      <c r="I57" s="4"/>
      <c r="J57" s="4"/>
      <c r="K57" s="4"/>
    </row>
    <row r="58" spans="1:11" x14ac:dyDescent="0.2">
      <c r="A58" s="2"/>
      <c r="B58" s="3"/>
      <c r="C58" s="3"/>
      <c r="D58" s="3"/>
    </row>
    <row r="59" spans="1:11" x14ac:dyDescent="0.2">
      <c r="A59" s="2"/>
    </row>
  </sheetData>
  <pageMargins left="0.7" right="0.7" top="0.75" bottom="0.75" header="0.3" footer="0.3"/>
  <pageSetup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0307-E7B9-496B-A149-42E4A22C4A98}">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576</v>
      </c>
    </row>
    <row r="3" spans="1:9" s="35" customFormat="1" x14ac:dyDescent="0.2">
      <c r="A3" s="36" t="s">
        <v>43</v>
      </c>
      <c r="B3" s="35" t="s">
        <v>577</v>
      </c>
    </row>
    <row r="4" spans="1:9" x14ac:dyDescent="0.2">
      <c r="A4" s="34" t="s">
        <v>41</v>
      </c>
      <c r="B4" s="1" t="s">
        <v>40</v>
      </c>
    </row>
    <row r="5" spans="1:9" x14ac:dyDescent="0.2">
      <c r="A5" s="34" t="s">
        <v>39</v>
      </c>
    </row>
    <row r="6" spans="1:9" x14ac:dyDescent="0.2">
      <c r="A6" s="34" t="s">
        <v>38</v>
      </c>
      <c r="B6" s="1">
        <v>3</v>
      </c>
    </row>
    <row r="7" spans="1:9" x14ac:dyDescent="0.2">
      <c r="A7" s="34" t="s">
        <v>37</v>
      </c>
      <c r="B7" s="1" t="s">
        <v>579</v>
      </c>
    </row>
    <row r="8" spans="1:9" x14ac:dyDescent="0.2">
      <c r="A8" s="34" t="s">
        <v>281</v>
      </c>
      <c r="B8" s="1" t="s">
        <v>578</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713</v>
      </c>
      <c r="C40" s="19"/>
      <c r="D40" s="19"/>
      <c r="E40" s="19"/>
      <c r="F40" s="19"/>
      <c r="G40" s="19"/>
      <c r="H40" s="19"/>
      <c r="I40" s="19"/>
    </row>
    <row r="41" spans="1:9" s="16" customFormat="1" x14ac:dyDescent="0.2">
      <c r="A41" s="18" t="s">
        <v>12</v>
      </c>
      <c r="B41" s="19">
        <f>B39+B40</f>
        <v>713</v>
      </c>
      <c r="C41" s="19"/>
      <c r="D41" s="19"/>
      <c r="E41" s="19"/>
      <c r="F41" s="19"/>
      <c r="G41" s="19"/>
      <c r="H41" s="19"/>
      <c r="I41" s="19"/>
    </row>
    <row r="42" spans="1:9" s="16" customFormat="1" x14ac:dyDescent="0.2">
      <c r="A42" s="18" t="s">
        <v>11</v>
      </c>
      <c r="B42" s="17">
        <v>645</v>
      </c>
      <c r="C42" s="17"/>
      <c r="D42" s="17"/>
      <c r="E42" s="17"/>
      <c r="F42" s="17"/>
      <c r="G42" s="17"/>
      <c r="H42" s="17"/>
      <c r="I42" s="17"/>
    </row>
    <row r="43" spans="1:9" x14ac:dyDescent="0.2">
      <c r="B43" s="16"/>
      <c r="C43" s="16"/>
      <c r="D43" s="16"/>
    </row>
    <row r="44" spans="1:9" x14ac:dyDescent="0.2">
      <c r="A44" s="15" t="s">
        <v>10</v>
      </c>
      <c r="B44" s="27">
        <v>33</v>
      </c>
      <c r="C44" s="27"/>
      <c r="D44" s="27"/>
      <c r="E44" s="27"/>
      <c r="F44" s="27"/>
      <c r="G44" s="27"/>
      <c r="H44" s="14"/>
      <c r="I44" s="14"/>
    </row>
    <row r="46" spans="1:9" x14ac:dyDescent="0.2">
      <c r="A46" s="1" t="s">
        <v>9</v>
      </c>
      <c r="B46" s="12">
        <v>532</v>
      </c>
      <c r="C46" s="11"/>
      <c r="D46" s="11"/>
      <c r="E46" s="11"/>
      <c r="F46" s="11"/>
    </row>
    <row r="47" spans="1:9" x14ac:dyDescent="0.2">
      <c r="A47" s="1" t="s">
        <v>8</v>
      </c>
      <c r="B47" s="12">
        <v>121.782</v>
      </c>
      <c r="C47" s="11"/>
      <c r="D47" s="11"/>
      <c r="E47" s="11"/>
      <c r="F47" s="11"/>
    </row>
    <row r="48" spans="1:9" x14ac:dyDescent="0.2">
      <c r="A48" s="1" t="s">
        <v>7</v>
      </c>
      <c r="B48" s="12">
        <v>71.61699999999999</v>
      </c>
      <c r="C48" s="11"/>
      <c r="D48" s="11"/>
      <c r="E48" s="11"/>
      <c r="F48" s="11"/>
    </row>
    <row r="50" spans="1:9" s="10" customFormat="1" x14ac:dyDescent="0.2">
      <c r="A50" s="10" t="s">
        <v>6</v>
      </c>
      <c r="B50" s="10">
        <f>+SUM(B39:B40)/B47</f>
        <v>5.8547240150432742</v>
      </c>
    </row>
    <row r="51" spans="1:9" s="10" customFormat="1" x14ac:dyDescent="0.2">
      <c r="A51" s="10" t="s">
        <v>5</v>
      </c>
      <c r="B51" s="10">
        <f>+B41/B47</f>
        <v>5.8547240150432742</v>
      </c>
    </row>
    <row r="52" spans="1:9" s="10" customFormat="1" x14ac:dyDescent="0.2">
      <c r="A52" s="10" t="s">
        <v>4</v>
      </c>
      <c r="B52" s="10">
        <f>+(B41-B44)/B47</f>
        <v>5.5837480087369231</v>
      </c>
    </row>
    <row r="53" spans="1:9" s="6" customFormat="1" x14ac:dyDescent="0.2">
      <c r="A53" s="6" t="s">
        <v>3</v>
      </c>
      <c r="B53" s="6">
        <f>+B48/B41</f>
        <v>0.10044460028050489</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10.880097222906505</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X59"/>
  <sheetViews>
    <sheetView showGridLines="0" zoomScaleNormal="100" workbookViewId="0">
      <pane xSplit="1" ySplit="10" topLeftCell="B11" activePane="bottomRight" state="frozen"/>
      <selection activeCell="B7" sqref="B7"/>
      <selection pane="topRight" activeCell="B7" sqref="B7"/>
      <selection pane="bottomLeft" activeCell="B7" sqref="B7"/>
      <selection pane="bottomRight" activeCell="B11" sqref="B11"/>
    </sheetView>
  </sheetViews>
  <sheetFormatPr defaultRowHeight="12.75" x14ac:dyDescent="0.2"/>
  <cols>
    <col min="1" max="1" width="22.7109375" style="1" customWidth="1"/>
    <col min="2" max="24" width="10.7109375" style="1" customWidth="1"/>
    <col min="25" max="16384" width="9.140625" style="1"/>
  </cols>
  <sheetData>
    <row r="2" spans="1:24" x14ac:dyDescent="0.2">
      <c r="A2" s="34" t="s">
        <v>45</v>
      </c>
      <c r="B2" s="1" t="s">
        <v>438</v>
      </c>
    </row>
    <row r="3" spans="1:24" s="35" customFormat="1" x14ac:dyDescent="0.2">
      <c r="A3" s="36" t="s">
        <v>43</v>
      </c>
      <c r="B3" s="35" t="s">
        <v>103</v>
      </c>
    </row>
    <row r="4" spans="1:24" x14ac:dyDescent="0.2">
      <c r="A4" s="34" t="s">
        <v>41</v>
      </c>
      <c r="B4" s="1" t="s">
        <v>40</v>
      </c>
    </row>
    <row r="5" spans="1:24" x14ac:dyDescent="0.2">
      <c r="A5" s="34" t="s">
        <v>39</v>
      </c>
    </row>
    <row r="6" spans="1:24" x14ac:dyDescent="0.2">
      <c r="A6" s="34" t="s">
        <v>38</v>
      </c>
      <c r="B6" s="1">
        <v>2</v>
      </c>
    </row>
    <row r="7" spans="1:24" x14ac:dyDescent="0.2">
      <c r="A7" s="34" t="s">
        <v>37</v>
      </c>
      <c r="B7" s="1" t="s">
        <v>374</v>
      </c>
    </row>
    <row r="8" spans="1:24" x14ac:dyDescent="0.2">
      <c r="A8" s="34" t="s">
        <v>281</v>
      </c>
      <c r="B8" s="1" t="s">
        <v>319</v>
      </c>
    </row>
    <row r="9" spans="1:24" x14ac:dyDescent="0.2">
      <c r="A9" s="22"/>
    </row>
    <row r="10" spans="1:24" x14ac:dyDescent="0.2">
      <c r="A10" s="22" t="s">
        <v>36</v>
      </c>
      <c r="B10" s="33">
        <v>44286</v>
      </c>
      <c r="C10" s="33">
        <v>44196</v>
      </c>
      <c r="D10" s="33">
        <v>44104</v>
      </c>
      <c r="E10" s="33">
        <v>44012</v>
      </c>
      <c r="F10" s="33">
        <v>43921</v>
      </c>
      <c r="G10" s="33">
        <v>43830</v>
      </c>
      <c r="H10" s="33">
        <v>43738</v>
      </c>
      <c r="I10" s="33">
        <v>43646</v>
      </c>
      <c r="J10" s="33">
        <v>43555</v>
      </c>
      <c r="K10" s="33">
        <v>43465</v>
      </c>
      <c r="L10" s="33">
        <v>43373</v>
      </c>
      <c r="M10" s="33">
        <v>43281</v>
      </c>
      <c r="N10" s="33">
        <v>43190</v>
      </c>
      <c r="O10" s="33">
        <v>43100</v>
      </c>
      <c r="P10" s="33">
        <v>43008</v>
      </c>
      <c r="Q10" s="33">
        <v>42916</v>
      </c>
      <c r="R10" s="33">
        <v>42825</v>
      </c>
      <c r="S10" s="33">
        <v>42735</v>
      </c>
      <c r="T10" s="33">
        <v>42643</v>
      </c>
      <c r="U10" s="33">
        <v>42551</v>
      </c>
      <c r="V10" s="33">
        <v>42460</v>
      </c>
      <c r="W10" s="33">
        <v>42369</v>
      </c>
      <c r="X10" s="33">
        <v>42277</v>
      </c>
    </row>
    <row r="12" spans="1:24" x14ac:dyDescent="0.2">
      <c r="A12" s="15" t="s">
        <v>35</v>
      </c>
      <c r="B12" s="19">
        <v>1260</v>
      </c>
      <c r="C12" s="19">
        <f>4968-D12-E12-F12</f>
        <v>1358</v>
      </c>
      <c r="D12" s="19">
        <v>1337</v>
      </c>
      <c r="E12" s="19">
        <v>1048</v>
      </c>
      <c r="F12" s="19">
        <v>1225</v>
      </c>
      <c r="G12" s="19">
        <f>5603-H12-I12-J12</f>
        <v>1479</v>
      </c>
      <c r="H12" s="19">
        <v>1458</v>
      </c>
      <c r="I12" s="19">
        <v>1400</v>
      </c>
      <c r="J12" s="19">
        <v>1266</v>
      </c>
      <c r="K12" s="19">
        <f>5357-L12-M12-N12</f>
        <v>1384.2999999999997</v>
      </c>
      <c r="L12" s="19">
        <v>1375.3</v>
      </c>
      <c r="M12" s="19">
        <v>1343.4</v>
      </c>
      <c r="N12" s="19">
        <v>1254</v>
      </c>
      <c r="O12" s="19">
        <f>4576.1-R12-Q12-P12</f>
        <v>1234.2000000000003</v>
      </c>
      <c r="P12" s="19">
        <v>1208.5999999999999</v>
      </c>
      <c r="Q12" s="19">
        <v>1132.7</v>
      </c>
      <c r="R12" s="19">
        <v>1000.6</v>
      </c>
      <c r="S12" s="19">
        <f>4145.8-V12-U12-T12</f>
        <v>1111.4000000000003</v>
      </c>
      <c r="T12" s="19">
        <v>1075.7</v>
      </c>
      <c r="U12" s="19">
        <v>1040.2</v>
      </c>
      <c r="V12" s="19">
        <v>918.5</v>
      </c>
      <c r="W12" s="19">
        <f>4052.2-2995.2</f>
        <v>1057</v>
      </c>
      <c r="X12" s="19">
        <v>1019.7</v>
      </c>
    </row>
    <row r="13" spans="1:24" s="28" customFormat="1" x14ac:dyDescent="0.2">
      <c r="A13" s="28" t="s">
        <v>34</v>
      </c>
      <c r="B13" s="28">
        <f t="shared" ref="B13:T13" si="0">+B12/F12-1</f>
        <v>2.857142857142847E-2</v>
      </c>
      <c r="C13" s="28">
        <f t="shared" si="0"/>
        <v>-8.1812035158891128E-2</v>
      </c>
      <c r="D13" s="28">
        <f t="shared" si="0"/>
        <v>-8.2990397805212668E-2</v>
      </c>
      <c r="E13" s="28">
        <f t="shared" si="0"/>
        <v>-0.25142857142857145</v>
      </c>
      <c r="F13" s="28">
        <f t="shared" si="0"/>
        <v>-3.2385466034755117E-2</v>
      </c>
      <c r="G13" s="28">
        <f t="shared" si="0"/>
        <v>6.8410026728310536E-2</v>
      </c>
      <c r="H13" s="28">
        <f t="shared" si="0"/>
        <v>6.0132334763324469E-2</v>
      </c>
      <c r="I13" s="28">
        <f t="shared" si="0"/>
        <v>4.2131904123864805E-2</v>
      </c>
      <c r="J13" s="28">
        <f t="shared" si="0"/>
        <v>9.5693779904306719E-3</v>
      </c>
      <c r="K13" s="28">
        <f t="shared" si="0"/>
        <v>0.12161724193809698</v>
      </c>
      <c r="L13" s="28">
        <f t="shared" si="0"/>
        <v>0.13792818136687091</v>
      </c>
      <c r="M13" s="28">
        <f t="shared" si="0"/>
        <v>0.18601571466407707</v>
      </c>
      <c r="N13" s="28">
        <f t="shared" si="0"/>
        <v>0.25324805116929849</v>
      </c>
      <c r="O13" s="28">
        <f t="shared" si="0"/>
        <v>0.11049127226920996</v>
      </c>
      <c r="P13" s="28">
        <f t="shared" si="0"/>
        <v>0.12354745746955453</v>
      </c>
      <c r="Q13" s="28">
        <f t="shared" si="0"/>
        <v>8.8925206691020886E-2</v>
      </c>
      <c r="R13" s="28">
        <f t="shared" si="0"/>
        <v>8.9384866630375592E-2</v>
      </c>
      <c r="S13" s="28">
        <f t="shared" si="0"/>
        <v>5.1466414380322068E-2</v>
      </c>
      <c r="T13" s="28">
        <f t="shared" si="0"/>
        <v>5.4918113170540295E-2</v>
      </c>
    </row>
    <row r="14" spans="1:24" s="23" customFormat="1" x14ac:dyDescent="0.2">
      <c r="A14" s="31" t="s">
        <v>33</v>
      </c>
      <c r="B14" s="32" t="s">
        <v>32</v>
      </c>
      <c r="C14" s="32" t="s">
        <v>32</v>
      </c>
      <c r="D14" s="32" t="s">
        <v>32</v>
      </c>
      <c r="E14" s="32" t="s">
        <v>32</v>
      </c>
      <c r="F14" s="32" t="s">
        <v>32</v>
      </c>
      <c r="G14" s="32" t="s">
        <v>32</v>
      </c>
      <c r="H14" s="32" t="s">
        <v>32</v>
      </c>
      <c r="I14" s="32" t="s">
        <v>32</v>
      </c>
      <c r="J14" s="32" t="s">
        <v>32</v>
      </c>
      <c r="K14" s="32" t="s">
        <v>32</v>
      </c>
      <c r="L14" s="32" t="s">
        <v>32</v>
      </c>
      <c r="M14" s="32" t="s">
        <v>32</v>
      </c>
      <c r="N14" s="32" t="s">
        <v>32</v>
      </c>
      <c r="O14" s="32" t="s">
        <v>32</v>
      </c>
      <c r="P14" s="32" t="s">
        <v>32</v>
      </c>
      <c r="Q14" s="32" t="s">
        <v>32</v>
      </c>
      <c r="R14" s="32" t="s">
        <v>32</v>
      </c>
      <c r="S14" s="32" t="s">
        <v>32</v>
      </c>
      <c r="T14" s="32" t="s">
        <v>32</v>
      </c>
      <c r="U14" s="31"/>
      <c r="V14" s="31"/>
      <c r="W14" s="31"/>
      <c r="X14" s="31"/>
    </row>
    <row r="15" spans="1:24" x14ac:dyDescent="0.2">
      <c r="B15" s="11"/>
      <c r="C15" s="11"/>
      <c r="D15" s="11"/>
      <c r="E15" s="11"/>
      <c r="F15" s="11"/>
      <c r="G15" s="11"/>
      <c r="H15" s="11"/>
      <c r="I15" s="11"/>
      <c r="J15" s="11"/>
      <c r="K15" s="11"/>
    </row>
    <row r="16" spans="1:24" s="22" customFormat="1" x14ac:dyDescent="0.2">
      <c r="A16" s="30" t="s">
        <v>31</v>
      </c>
      <c r="B16" s="29">
        <f t="shared" ref="B16:N16" si="1">B22-B21-B20-B19</f>
        <v>517</v>
      </c>
      <c r="C16" s="29">
        <f t="shared" ref="C16" si="2">C22-C21-C20-C19</f>
        <v>424</v>
      </c>
      <c r="D16" s="29">
        <f t="shared" si="1"/>
        <v>504</v>
      </c>
      <c r="E16" s="29">
        <f t="shared" si="1"/>
        <v>312</v>
      </c>
      <c r="F16" s="29">
        <f t="shared" si="1"/>
        <v>455</v>
      </c>
      <c r="G16" s="29">
        <f t="shared" si="1"/>
        <v>578</v>
      </c>
      <c r="H16" s="29">
        <f t="shared" si="1"/>
        <v>627</v>
      </c>
      <c r="I16" s="29">
        <f t="shared" si="1"/>
        <v>555</v>
      </c>
      <c r="J16" s="29">
        <f t="shared" si="1"/>
        <v>506</v>
      </c>
      <c r="K16" s="29">
        <f t="shared" si="1"/>
        <v>543.19999999999993</v>
      </c>
      <c r="L16" s="29">
        <f t="shared" si="1"/>
        <v>561.79999999999995</v>
      </c>
      <c r="M16" s="29">
        <f t="shared" si="1"/>
        <v>564</v>
      </c>
      <c r="N16" s="29">
        <f t="shared" si="1"/>
        <v>483</v>
      </c>
      <c r="O16" s="29">
        <f>1917+54.9-R16-Q16-P16</f>
        <v>564.20000000000005</v>
      </c>
      <c r="P16" s="29">
        <f>525.5+12.5</f>
        <v>538</v>
      </c>
      <c r="Q16" s="29">
        <f>459.8+11.9</f>
        <v>471.7</v>
      </c>
      <c r="R16" s="29">
        <f>379.5+18.5</f>
        <v>398</v>
      </c>
      <c r="S16" s="29">
        <f>1838.5+42-V16-U16-T16</f>
        <v>545.70000000000005</v>
      </c>
      <c r="T16" s="29">
        <f>463.7+11.8</f>
        <v>475.5</v>
      </c>
      <c r="U16" s="29">
        <f>467.5+11.3</f>
        <v>478.8</v>
      </c>
      <c r="V16" s="29">
        <f>372.6+7.9</f>
        <v>380.5</v>
      </c>
      <c r="W16" s="29">
        <f>1666.2+51.8-(1008+37.5)</f>
        <v>672.5</v>
      </c>
      <c r="X16" s="29">
        <f>387.1+15.5</f>
        <v>402.6</v>
      </c>
    </row>
    <row r="17" spans="1:24" s="28" customFormat="1" x14ac:dyDescent="0.2">
      <c r="A17" s="28" t="s">
        <v>30</v>
      </c>
      <c r="B17" s="28">
        <f t="shared" ref="B17:C17" si="3">+B16/B12</f>
        <v>0.4103174603174603</v>
      </c>
      <c r="C17" s="28">
        <f t="shared" si="3"/>
        <v>0.31222385861561119</v>
      </c>
      <c r="D17" s="28">
        <f t="shared" ref="D17:I17" si="4">+D16/D12</f>
        <v>0.37696335078534032</v>
      </c>
      <c r="E17" s="28">
        <f t="shared" si="4"/>
        <v>0.29770992366412213</v>
      </c>
      <c r="F17" s="28">
        <f t="shared" si="4"/>
        <v>0.37142857142857144</v>
      </c>
      <c r="G17" s="28">
        <f t="shared" si="4"/>
        <v>0.39080459770114945</v>
      </c>
      <c r="H17" s="28">
        <f t="shared" si="4"/>
        <v>0.43004115226337447</v>
      </c>
      <c r="I17" s="28">
        <f t="shared" si="4"/>
        <v>0.39642857142857141</v>
      </c>
      <c r="J17" s="28">
        <f t="shared" ref="J17:K17" si="5">+J16/J12</f>
        <v>0.39968404423380727</v>
      </c>
      <c r="K17" s="28">
        <f t="shared" si="5"/>
        <v>0.3924004912230008</v>
      </c>
      <c r="L17" s="28">
        <f t="shared" ref="L17:X17" si="6">+L16/L12</f>
        <v>0.40849269250345377</v>
      </c>
      <c r="M17" s="28">
        <f t="shared" si="6"/>
        <v>0.41983028137561407</v>
      </c>
      <c r="N17" s="28">
        <f t="shared" si="6"/>
        <v>0.38516746411483255</v>
      </c>
      <c r="O17" s="28">
        <f t="shared" si="6"/>
        <v>0.45713822719170305</v>
      </c>
      <c r="P17" s="28">
        <f t="shared" si="6"/>
        <v>0.44514314082409401</v>
      </c>
      <c r="Q17" s="28">
        <f t="shared" si="6"/>
        <v>0.41643859804008121</v>
      </c>
      <c r="R17" s="28">
        <f t="shared" si="6"/>
        <v>0.39776134319408352</v>
      </c>
      <c r="S17" s="28">
        <f t="shared" si="6"/>
        <v>0.49100233939175802</v>
      </c>
      <c r="T17" s="28">
        <f t="shared" si="6"/>
        <v>0.44203774286511105</v>
      </c>
      <c r="U17" s="28">
        <f t="shared" si="6"/>
        <v>0.46029609690444145</v>
      </c>
      <c r="V17" s="28">
        <f t="shared" si="6"/>
        <v>0.41426238432226459</v>
      </c>
      <c r="W17" s="28">
        <f t="shared" si="6"/>
        <v>0.63623462630085148</v>
      </c>
      <c r="X17" s="28">
        <f t="shared" si="6"/>
        <v>0.39482200647249194</v>
      </c>
    </row>
    <row r="18" spans="1:24" s="23" customFormat="1" x14ac:dyDescent="0.2"/>
    <row r="19" spans="1:24" s="23" customFormat="1" x14ac:dyDescent="0.2">
      <c r="A19" s="15" t="s">
        <v>29</v>
      </c>
      <c r="B19" s="19">
        <f>0-C19-D19-E19</f>
        <v>0</v>
      </c>
      <c r="C19" s="19">
        <f>0-D19-E19-F19</f>
        <v>0</v>
      </c>
      <c r="D19" s="19">
        <v>0</v>
      </c>
      <c r="E19" s="19">
        <v>0</v>
      </c>
      <c r="F19" s="19">
        <f>0-G19-H19-I19</f>
        <v>0</v>
      </c>
      <c r="G19" s="19">
        <f>0-H19-I19-J19</f>
        <v>0</v>
      </c>
      <c r="H19" s="19">
        <v>0</v>
      </c>
      <c r="I19" s="19">
        <v>0</v>
      </c>
      <c r="J19" s="19">
        <v>0</v>
      </c>
      <c r="K19" s="19">
        <f>10-L19-M19-N19</f>
        <v>0</v>
      </c>
      <c r="L19" s="19">
        <v>0</v>
      </c>
      <c r="M19" s="19">
        <v>5</v>
      </c>
      <c r="N19" s="19">
        <v>5</v>
      </c>
      <c r="O19" s="19">
        <f>61.7-R19-Q19-P19</f>
        <v>11.900000000000004</v>
      </c>
      <c r="P19" s="19">
        <v>6.9</v>
      </c>
      <c r="Q19" s="19">
        <v>8.5</v>
      </c>
      <c r="R19" s="19">
        <v>34.4</v>
      </c>
      <c r="S19" s="19">
        <v>0</v>
      </c>
      <c r="T19" s="19">
        <v>0</v>
      </c>
      <c r="U19" s="19">
        <v>0</v>
      </c>
      <c r="V19" s="19">
        <v>0</v>
      </c>
      <c r="W19" s="19">
        <f>116.7-79.7</f>
        <v>37</v>
      </c>
      <c r="X19" s="19">
        <v>24.3</v>
      </c>
    </row>
    <row r="20" spans="1:24" s="23" customFormat="1" x14ac:dyDescent="0.2">
      <c r="A20" s="15" t="s">
        <v>28</v>
      </c>
      <c r="B20" s="19">
        <v>1</v>
      </c>
      <c r="C20" s="19">
        <f>16-D20-E20-F20</f>
        <v>5</v>
      </c>
      <c r="D20" s="19">
        <v>3</v>
      </c>
      <c r="E20" s="19">
        <v>7</v>
      </c>
      <c r="F20" s="19">
        <v>1</v>
      </c>
      <c r="G20" s="19">
        <f>31+6-H20-I20-J20</f>
        <v>9</v>
      </c>
      <c r="H20" s="19">
        <v>5</v>
      </c>
      <c r="I20" s="19">
        <f>11+2</f>
        <v>13</v>
      </c>
      <c r="J20" s="19">
        <f>6+4</f>
        <v>10</v>
      </c>
      <c r="K20" s="19">
        <f>25+20-L20-M20-N20</f>
        <v>9.3999999999999986</v>
      </c>
      <c r="L20" s="19">
        <f>5.5+4.1</f>
        <v>9.6</v>
      </c>
      <c r="M20" s="19">
        <f>7+12</f>
        <v>19</v>
      </c>
      <c r="N20" s="19">
        <v>7</v>
      </c>
      <c r="O20" s="19">
        <f>1.9-R20-Q20-P20</f>
        <v>1.9</v>
      </c>
      <c r="P20" s="19">
        <v>0</v>
      </c>
      <c r="Q20" s="19">
        <v>0</v>
      </c>
      <c r="R20" s="19">
        <v>0</v>
      </c>
      <c r="S20" s="19">
        <f>16.4-V20-U20-T20</f>
        <v>5.9999999999999982</v>
      </c>
      <c r="T20" s="19">
        <v>4.4000000000000004</v>
      </c>
      <c r="U20" s="19">
        <v>3.8</v>
      </c>
      <c r="V20" s="19">
        <v>2.2000000000000002</v>
      </c>
      <c r="W20" s="19">
        <v>0</v>
      </c>
      <c r="X20" s="19">
        <v>0</v>
      </c>
    </row>
    <row r="21" spans="1:24" s="23" customFormat="1" x14ac:dyDescent="0.2">
      <c r="A21" s="15" t="s">
        <v>18</v>
      </c>
      <c r="B21" s="19">
        <f>-42+4</f>
        <v>-38</v>
      </c>
      <c r="C21" s="19">
        <f>48+105-D21-E21-F21</f>
        <v>72</v>
      </c>
      <c r="D21" s="19">
        <v>54</v>
      </c>
      <c r="E21" s="19">
        <f>18+21</f>
        <v>39</v>
      </c>
      <c r="F21" s="19">
        <f>-16+4</f>
        <v>-12</v>
      </c>
      <c r="G21" s="19">
        <f>11-10-H21-I21-J21</f>
        <v>35</v>
      </c>
      <c r="H21" s="19">
        <v>-30</v>
      </c>
      <c r="I21" s="19">
        <f>9+3</f>
        <v>12</v>
      </c>
      <c r="J21" s="19">
        <f>-17+1</f>
        <v>-16</v>
      </c>
      <c r="K21" s="19">
        <f>-3+8-L21-M21-N21</f>
        <v>28</v>
      </c>
      <c r="L21" s="19">
        <v>0</v>
      </c>
      <c r="M21" s="19">
        <f>4-30</f>
        <v>-26</v>
      </c>
      <c r="N21" s="19">
        <f>13-10</f>
        <v>3</v>
      </c>
      <c r="O21" s="19">
        <f>1.1+109.2-R21-Q21-P21</f>
        <v>28.299999999999994</v>
      </c>
      <c r="P21" s="19">
        <f>21.5-1.3</f>
        <v>20.2</v>
      </c>
      <c r="Q21" s="19">
        <f>46.8+4.1</f>
        <v>50.9</v>
      </c>
      <c r="R21" s="19">
        <f>-2.9+13.8</f>
        <v>10.9</v>
      </c>
      <c r="S21" s="19">
        <f>-8-0.7-V21-U21-T21</f>
        <v>-39.299999999999997</v>
      </c>
      <c r="T21" s="19">
        <f>0.3+8.7</f>
        <v>9</v>
      </c>
      <c r="U21" s="19">
        <f>7.8-11.3</f>
        <v>-3.5000000000000009</v>
      </c>
      <c r="V21" s="19">
        <f>-15.7+40.8</f>
        <v>25.099999999999998</v>
      </c>
      <c r="W21" s="19">
        <f>17.7+105.5+0.5-(0.5+15.7+82.2)</f>
        <v>25.299999999999997</v>
      </c>
      <c r="X21" s="19">
        <f>4.7+9.4-0.3</f>
        <v>13.8</v>
      </c>
    </row>
    <row r="22" spans="1:24" s="22" customFormat="1" x14ac:dyDescent="0.2">
      <c r="A22" s="22" t="s">
        <v>23</v>
      </c>
      <c r="B22" s="20">
        <v>480</v>
      </c>
      <c r="C22" s="20">
        <f>1864-D22-E22-F22</f>
        <v>501</v>
      </c>
      <c r="D22" s="20">
        <v>561</v>
      </c>
      <c r="E22" s="20">
        <v>358</v>
      </c>
      <c r="F22" s="20">
        <v>444</v>
      </c>
      <c r="G22" s="20">
        <f>2304-H22-I22-J22</f>
        <v>622</v>
      </c>
      <c r="H22" s="20">
        <v>602</v>
      </c>
      <c r="I22" s="20">
        <v>580</v>
      </c>
      <c r="J22" s="20">
        <v>500</v>
      </c>
      <c r="K22" s="20">
        <f>2212-L22-M22-N22</f>
        <v>580.59999999999991</v>
      </c>
      <c r="L22" s="20">
        <v>571.4</v>
      </c>
      <c r="M22" s="20">
        <v>562</v>
      </c>
      <c r="N22" s="20">
        <v>498</v>
      </c>
      <c r="O22" s="20">
        <f t="shared" ref="O22:X22" si="7">SUM(O16,O19:O21)</f>
        <v>606.29999999999995</v>
      </c>
      <c r="P22" s="20">
        <f t="shared" si="7"/>
        <v>565.1</v>
      </c>
      <c r="Q22" s="20">
        <f t="shared" si="7"/>
        <v>531.1</v>
      </c>
      <c r="R22" s="20">
        <f t="shared" si="7"/>
        <v>443.29999999999995</v>
      </c>
      <c r="S22" s="20">
        <f t="shared" si="7"/>
        <v>512.40000000000009</v>
      </c>
      <c r="T22" s="20">
        <f t="shared" si="7"/>
        <v>488.9</v>
      </c>
      <c r="U22" s="20">
        <f t="shared" si="7"/>
        <v>479.1</v>
      </c>
      <c r="V22" s="20">
        <f t="shared" si="7"/>
        <v>407.8</v>
      </c>
      <c r="W22" s="20">
        <f t="shared" si="7"/>
        <v>734.8</v>
      </c>
      <c r="X22" s="20">
        <f t="shared" si="7"/>
        <v>440.70000000000005</v>
      </c>
    </row>
    <row r="23" spans="1:24" s="22" customFormat="1" x14ac:dyDescent="0.2">
      <c r="B23" s="28"/>
      <c r="C23" s="28"/>
      <c r="D23" s="28"/>
      <c r="E23" s="28"/>
      <c r="F23" s="28"/>
      <c r="G23" s="28"/>
      <c r="H23" s="28"/>
      <c r="I23" s="28"/>
      <c r="J23" s="28"/>
      <c r="K23" s="28"/>
      <c r="L23" s="28"/>
      <c r="M23" s="20"/>
      <c r="N23" s="20"/>
      <c r="O23" s="20"/>
      <c r="P23" s="20"/>
      <c r="Q23" s="20"/>
      <c r="R23" s="20"/>
      <c r="S23" s="20"/>
      <c r="T23" s="20"/>
      <c r="U23" s="20"/>
      <c r="V23" s="20"/>
      <c r="W23" s="20"/>
      <c r="X23" s="20"/>
    </row>
    <row r="24" spans="1:24" s="22" customFormat="1" x14ac:dyDescent="0.2">
      <c r="A24" s="22" t="s">
        <v>27</v>
      </c>
      <c r="B24" s="20">
        <f t="shared" ref="B24:U24" si="8">SUM(B22:E22)</f>
        <v>1900</v>
      </c>
      <c r="C24" s="20">
        <f t="shared" si="8"/>
        <v>1864</v>
      </c>
      <c r="D24" s="20">
        <f t="shared" si="8"/>
        <v>1985</v>
      </c>
      <c r="E24" s="20">
        <f t="shared" si="8"/>
        <v>2026</v>
      </c>
      <c r="F24" s="20">
        <f t="shared" si="8"/>
        <v>2248</v>
      </c>
      <c r="G24" s="20">
        <f t="shared" si="8"/>
        <v>2304</v>
      </c>
      <c r="H24" s="20">
        <f t="shared" si="8"/>
        <v>2262.6</v>
      </c>
      <c r="I24" s="20">
        <f t="shared" si="8"/>
        <v>2232</v>
      </c>
      <c r="J24" s="20">
        <f t="shared" si="8"/>
        <v>2214</v>
      </c>
      <c r="K24" s="20">
        <f t="shared" si="8"/>
        <v>2212</v>
      </c>
      <c r="L24" s="20">
        <f t="shared" si="8"/>
        <v>2237.6999999999998</v>
      </c>
      <c r="M24" s="20">
        <f t="shared" si="8"/>
        <v>2231.4</v>
      </c>
      <c r="N24" s="20">
        <f t="shared" si="8"/>
        <v>2200.5</v>
      </c>
      <c r="O24" s="20">
        <f t="shared" si="8"/>
        <v>2145.8000000000002</v>
      </c>
      <c r="P24" s="20">
        <f t="shared" si="8"/>
        <v>2051.9</v>
      </c>
      <c r="Q24" s="20">
        <f t="shared" si="8"/>
        <v>1975.7000000000003</v>
      </c>
      <c r="R24" s="20">
        <f t="shared" si="8"/>
        <v>1923.6999999999998</v>
      </c>
      <c r="S24" s="20">
        <f t="shared" si="8"/>
        <v>1888.2</v>
      </c>
      <c r="T24" s="20">
        <f t="shared" si="8"/>
        <v>2110.6</v>
      </c>
      <c r="U24" s="20">
        <f t="shared" si="8"/>
        <v>2062.4</v>
      </c>
      <c r="V24" s="20"/>
      <c r="W24" s="20"/>
      <c r="X24" s="20"/>
    </row>
    <row r="25" spans="1:24" s="23" customFormat="1" x14ac:dyDescent="0.2">
      <c r="A25" s="15" t="s">
        <v>26</v>
      </c>
      <c r="B25" s="27">
        <v>0</v>
      </c>
      <c r="C25" s="27">
        <v>0</v>
      </c>
      <c r="D25" s="27">
        <v>0</v>
      </c>
      <c r="E25" s="27">
        <v>0</v>
      </c>
      <c r="F25" s="27">
        <v>0</v>
      </c>
      <c r="G25" s="27">
        <v>0</v>
      </c>
      <c r="H25" s="27">
        <v>0</v>
      </c>
      <c r="I25" s="27">
        <f>2232-I24</f>
        <v>0</v>
      </c>
      <c r="J25" s="27">
        <v>0</v>
      </c>
      <c r="K25" s="27">
        <v>0</v>
      </c>
      <c r="L25" s="27">
        <v>0</v>
      </c>
      <c r="M25" s="27">
        <v>0</v>
      </c>
      <c r="N25" s="27">
        <v>0</v>
      </c>
      <c r="O25" s="27">
        <v>0</v>
      </c>
      <c r="P25" s="27">
        <v>0</v>
      </c>
      <c r="Q25" s="27">
        <v>0</v>
      </c>
      <c r="R25" s="27">
        <v>0</v>
      </c>
      <c r="S25" s="27">
        <v>0</v>
      </c>
      <c r="T25" s="27">
        <v>0</v>
      </c>
      <c r="U25" s="27">
        <v>0</v>
      </c>
      <c r="V25" s="27"/>
      <c r="W25" s="27"/>
      <c r="X25" s="27"/>
    </row>
    <row r="26" spans="1:24" s="23" customFormat="1" x14ac:dyDescent="0.2">
      <c r="A26" s="15" t="s">
        <v>25</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6"/>
      <c r="W26" s="26"/>
      <c r="X26" s="26"/>
    </row>
    <row r="27" spans="1:24" s="24" customFormat="1" x14ac:dyDescent="0.2">
      <c r="A27" s="22" t="s">
        <v>24</v>
      </c>
      <c r="B27" s="20">
        <f t="shared" ref="B27:C27" si="9">SUM(B24:B26)</f>
        <v>1900</v>
      </c>
      <c r="C27" s="20">
        <f t="shared" si="9"/>
        <v>1864</v>
      </c>
      <c r="D27" s="20">
        <f t="shared" ref="D27" si="10">SUM(D24:D26)</f>
        <v>1985</v>
      </c>
      <c r="E27" s="20">
        <f t="shared" ref="E27:F27" si="11">SUM(E24:E26)</f>
        <v>2026</v>
      </c>
      <c r="F27" s="20">
        <f t="shared" si="11"/>
        <v>2248</v>
      </c>
      <c r="G27" s="20">
        <f t="shared" ref="G27:H27" si="12">SUM(G24:G26)</f>
        <v>2304</v>
      </c>
      <c r="H27" s="20">
        <f t="shared" si="12"/>
        <v>2262.6</v>
      </c>
      <c r="I27" s="20">
        <f t="shared" ref="I27:K27" si="13">SUM(I24:I26)</f>
        <v>2232</v>
      </c>
      <c r="J27" s="20">
        <f t="shared" si="13"/>
        <v>2214</v>
      </c>
      <c r="K27" s="20">
        <f t="shared" si="13"/>
        <v>2212</v>
      </c>
      <c r="L27" s="20">
        <f t="shared" ref="L27:U27" si="14">SUM(L24:L26)</f>
        <v>2237.6999999999998</v>
      </c>
      <c r="M27" s="20">
        <f t="shared" si="14"/>
        <v>2231.4</v>
      </c>
      <c r="N27" s="20">
        <f t="shared" si="14"/>
        <v>2200.5</v>
      </c>
      <c r="O27" s="20">
        <f t="shared" si="14"/>
        <v>2145.8000000000002</v>
      </c>
      <c r="P27" s="20">
        <f t="shared" si="14"/>
        <v>2051.9</v>
      </c>
      <c r="Q27" s="20">
        <f t="shared" si="14"/>
        <v>1975.7000000000003</v>
      </c>
      <c r="R27" s="20">
        <f t="shared" si="14"/>
        <v>1923.6999999999998</v>
      </c>
      <c r="S27" s="20">
        <f t="shared" si="14"/>
        <v>1888.2</v>
      </c>
      <c r="T27" s="20">
        <f t="shared" si="14"/>
        <v>2110.6</v>
      </c>
      <c r="U27" s="20">
        <f t="shared" si="14"/>
        <v>2062.4</v>
      </c>
      <c r="V27" s="25"/>
      <c r="W27" s="25"/>
      <c r="X27" s="25"/>
    </row>
    <row r="28" spans="1:24" s="23" customFormat="1" x14ac:dyDescent="0.2"/>
    <row r="29" spans="1:24" s="22" customFormat="1" x14ac:dyDescent="0.2">
      <c r="A29" s="22" t="s">
        <v>23</v>
      </c>
      <c r="B29" s="20">
        <f t="shared" ref="B29:C29" si="15">B22</f>
        <v>480</v>
      </c>
      <c r="C29" s="20">
        <f t="shared" si="15"/>
        <v>501</v>
      </c>
      <c r="D29" s="20">
        <f t="shared" ref="D29" si="16">D22</f>
        <v>561</v>
      </c>
      <c r="E29" s="20">
        <f t="shared" ref="E29:F29" si="17">E22</f>
        <v>358</v>
      </c>
      <c r="F29" s="20">
        <f t="shared" si="17"/>
        <v>444</v>
      </c>
      <c r="G29" s="20">
        <f t="shared" ref="G29:H29" si="18">G22</f>
        <v>622</v>
      </c>
      <c r="H29" s="20">
        <f t="shared" si="18"/>
        <v>602</v>
      </c>
      <c r="I29" s="20">
        <f t="shared" ref="I29:J29" si="19">I22</f>
        <v>580</v>
      </c>
      <c r="J29" s="20">
        <f t="shared" si="19"/>
        <v>500</v>
      </c>
      <c r="K29" s="20">
        <f t="shared" ref="K29:X29" si="20">K22</f>
        <v>580.59999999999991</v>
      </c>
      <c r="L29" s="20">
        <f t="shared" si="20"/>
        <v>571.4</v>
      </c>
      <c r="M29" s="20">
        <f t="shared" si="20"/>
        <v>562</v>
      </c>
      <c r="N29" s="20">
        <f t="shared" si="20"/>
        <v>498</v>
      </c>
      <c r="O29" s="20">
        <f t="shared" si="20"/>
        <v>606.29999999999995</v>
      </c>
      <c r="P29" s="20">
        <f t="shared" si="20"/>
        <v>565.1</v>
      </c>
      <c r="Q29" s="20">
        <f t="shared" si="20"/>
        <v>531.1</v>
      </c>
      <c r="R29" s="20">
        <f t="shared" si="20"/>
        <v>443.29999999999995</v>
      </c>
      <c r="S29" s="20">
        <f t="shared" si="20"/>
        <v>512.40000000000009</v>
      </c>
      <c r="T29" s="20">
        <f t="shared" si="20"/>
        <v>488.9</v>
      </c>
      <c r="U29" s="20">
        <f t="shared" si="20"/>
        <v>479.1</v>
      </c>
      <c r="V29" s="20">
        <f t="shared" si="20"/>
        <v>407.8</v>
      </c>
      <c r="W29" s="20">
        <f t="shared" si="20"/>
        <v>734.8</v>
      </c>
      <c r="X29" s="20">
        <f t="shared" si="20"/>
        <v>440.70000000000005</v>
      </c>
    </row>
    <row r="30" spans="1:24" s="11" customFormat="1" x14ac:dyDescent="0.2">
      <c r="A30" s="19" t="s">
        <v>22</v>
      </c>
      <c r="B30" s="19">
        <v>-72</v>
      </c>
      <c r="C30" s="19">
        <f>-463-D30-E30-F30</f>
        <v>-148</v>
      </c>
      <c r="D30" s="19">
        <f>-315-E30-F30</f>
        <v>-81</v>
      </c>
      <c r="E30" s="19">
        <f>-234-F30</f>
        <v>-130</v>
      </c>
      <c r="F30" s="19">
        <v>-104</v>
      </c>
      <c r="G30" s="19">
        <f>-584-H30-I30-J30</f>
        <v>-151</v>
      </c>
      <c r="H30" s="19">
        <f>-433-I30-J30</f>
        <v>-141</v>
      </c>
      <c r="I30" s="19">
        <f>-292-J30</f>
        <v>-152</v>
      </c>
      <c r="J30" s="19">
        <v>-140</v>
      </c>
      <c r="K30" s="19">
        <f>-561-L30-M30-N30</f>
        <v>-150.5</v>
      </c>
      <c r="L30" s="19">
        <f>-410.5-M30-N30</f>
        <v>-136.89999999999998</v>
      </c>
      <c r="M30" s="19">
        <f>-273.6-N30</f>
        <v>-144.60000000000002</v>
      </c>
      <c r="N30" s="19">
        <v>-129</v>
      </c>
      <c r="O30" s="19">
        <f>-447.2-R30-Q30-P30</f>
        <v>-107</v>
      </c>
      <c r="P30" s="19">
        <f>-340.2-R30-Q30</f>
        <v>-134.60000000000002</v>
      </c>
      <c r="Q30" s="19">
        <f>-205.6-R30</f>
        <v>-125.5</v>
      </c>
      <c r="R30" s="19">
        <v>-80.099999999999994</v>
      </c>
      <c r="S30" s="19">
        <f>-407.1-V30-U30-T30</f>
        <v>-121.20000000000007</v>
      </c>
      <c r="T30" s="19">
        <f>-285.9-V30-U30</f>
        <v>-86.199999999999989</v>
      </c>
      <c r="U30" s="19">
        <f>-199.7-V30</f>
        <v>-117.29999999999998</v>
      </c>
      <c r="V30" s="19">
        <v>-82.4</v>
      </c>
      <c r="W30" s="19">
        <f>-408.3+285.8</f>
        <v>-122.5</v>
      </c>
      <c r="X30" s="19">
        <f>-285.8+224.8</f>
        <v>-61</v>
      </c>
    </row>
    <row r="31" spans="1:24" s="11" customFormat="1" x14ac:dyDescent="0.2">
      <c r="A31" s="19" t="s">
        <v>21</v>
      </c>
      <c r="B31" s="19">
        <v>-96</v>
      </c>
      <c r="C31" s="19">
        <f>-267-D31-E31-F31</f>
        <v>-104</v>
      </c>
      <c r="D31" s="19">
        <f>-163-E31-F31</f>
        <v>-103</v>
      </c>
      <c r="E31" s="19">
        <f>-60-F31</f>
        <v>-12</v>
      </c>
      <c r="F31" s="19">
        <v>-48</v>
      </c>
      <c r="G31" s="19">
        <f>-248-H31-I31-J31</f>
        <v>-77</v>
      </c>
      <c r="H31" s="19">
        <f>-171-I31-J31</f>
        <v>-44</v>
      </c>
      <c r="I31" s="19">
        <f>-127-J31</f>
        <v>-82</v>
      </c>
      <c r="J31" s="19">
        <v>-45</v>
      </c>
      <c r="K31" s="19">
        <f>-433-L31-M31-N31</f>
        <v>-70.099999999999966</v>
      </c>
      <c r="L31" s="19">
        <f>-373.8-M31-N31-O31</f>
        <v>11.099999999999966</v>
      </c>
      <c r="M31" s="19">
        <f>-374-N31</f>
        <v>-70</v>
      </c>
      <c r="N31" s="19">
        <v>-304</v>
      </c>
      <c r="O31" s="19">
        <f>-200.2-R31-Q31-P31</f>
        <v>-10.899999999999977</v>
      </c>
      <c r="P31" s="19">
        <f>-189.3-R31-Q31</f>
        <v>-72.400000000000006</v>
      </c>
      <c r="Q31" s="19">
        <f>-116.9-R31</f>
        <v>-92.800000000000011</v>
      </c>
      <c r="R31" s="19">
        <v>-24.1</v>
      </c>
      <c r="S31" s="19">
        <f>-159.3-V31-U31-T31</f>
        <v>-66.000000000000014</v>
      </c>
      <c r="T31" s="19">
        <f>-93.3-V31-U31</f>
        <v>-16.700000000000003</v>
      </c>
      <c r="U31" s="19">
        <f>-76.6-V31</f>
        <v>-28.999999999999993</v>
      </c>
      <c r="V31" s="19">
        <v>-47.6</v>
      </c>
      <c r="W31" s="19">
        <f>-208.3+91.8</f>
        <v>-116.50000000000001</v>
      </c>
      <c r="X31" s="19">
        <f>-91.8+79.6</f>
        <v>-12.200000000000003</v>
      </c>
    </row>
    <row r="32" spans="1:24" s="11" customFormat="1" x14ac:dyDescent="0.2">
      <c r="A32" s="19" t="s">
        <v>20</v>
      </c>
      <c r="B32" s="19">
        <f>24-4+19-113+6</f>
        <v>-68</v>
      </c>
      <c r="C32" s="19">
        <f>-30-10-183+16-22+23-D32-E32-F32</f>
        <v>17</v>
      </c>
      <c r="D32" s="19">
        <f>-83-21-110-12-7+10-E32-F32</f>
        <v>27</v>
      </c>
      <c r="E32" s="19">
        <f>-36-28-158-13-5-10-F32</f>
        <v>-139</v>
      </c>
      <c r="F32" s="19">
        <f>94-13-136-67-3+14</f>
        <v>-111</v>
      </c>
      <c r="G32" s="19">
        <f>-53-15+112-51-54+138-H32-I32-J32</f>
        <v>134</v>
      </c>
      <c r="H32" s="19">
        <f>-7-34-15-85-13+97-I32-J32</f>
        <v>100</v>
      </c>
      <c r="I32" s="19">
        <f>-16-10-40-166-8+83-J32</f>
        <v>15</v>
      </c>
      <c r="J32" s="19">
        <f>14-13-69-126+22</f>
        <v>-172</v>
      </c>
      <c r="K32" s="19">
        <f>19-7+41-219-52+43-L32-M32-N32</f>
        <v>150.00000000000006</v>
      </c>
      <c r="L32" s="19">
        <f>-0.3-16.3-24-283.6-0.8-M32-N32</f>
        <v>16.39999999999992</v>
      </c>
      <c r="M32" s="19">
        <f>36.2-15.6-11.4-347.4-3.2-N32</f>
        <v>104.60000000000002</v>
      </c>
      <c r="N32" s="19">
        <f>15-7-73-374-2-5</f>
        <v>-446</v>
      </c>
      <c r="O32" s="19">
        <f>-30.4+2.9+19.9+1.3+360.1+40.2-R32-Q32-P32</f>
        <v>569.4</v>
      </c>
      <c r="P32" s="19">
        <f>0.3-1+6.8-161.4-20.1-Q32-R32</f>
        <v>-6.400000000000003</v>
      </c>
      <c r="Q32" s="19">
        <f>27.4-11.1-9.5+1.3-164.2-12.9-R32</f>
        <v>-162.30000000000001</v>
      </c>
      <c r="R32" s="19">
        <f>47.8-8.4+14.6+27.2-82.6-5.3</f>
        <v>-6.6999999999999913</v>
      </c>
      <c r="S32" s="19">
        <f>-15.8+7.7+27.5-10.1-1.2-5.7-V32-U32-T32</f>
        <v>-20.699999999999989</v>
      </c>
      <c r="T32" s="19">
        <f>20-3+11.8+4-23.8+14.1-V32-U32</f>
        <v>86.8</v>
      </c>
      <c r="U32" s="19">
        <f>21.4-69.4+7.4-15.8-17.5+10.2-V32</f>
        <v>1</v>
      </c>
      <c r="V32" s="19">
        <f>33.8-79-6-15.7+3.6-1.4</f>
        <v>-64.7</v>
      </c>
      <c r="W32" s="19">
        <f>79.2-26.5+9.2+191.2+32.9+56.2-28.8-(79.2+35.4-5.1+138.8+29.8+172.2-34.5)</f>
        <v>-102.40000000000003</v>
      </c>
      <c r="X32" s="19">
        <f>79.2+35.4-5.1+138.8+29.8+172.2-34.5-Y32</f>
        <v>415.8</v>
      </c>
    </row>
    <row r="33" spans="1:24" s="11" customFormat="1" x14ac:dyDescent="0.2">
      <c r="A33" s="19" t="s">
        <v>19</v>
      </c>
      <c r="B33" s="19">
        <f t="shared" ref="B33" si="21">-B19-B20-B21</f>
        <v>37</v>
      </c>
      <c r="C33" s="19">
        <f t="shared" ref="C33:D33" si="22">-C19-C20-C21</f>
        <v>-77</v>
      </c>
      <c r="D33" s="19">
        <f t="shared" si="22"/>
        <v>-57</v>
      </c>
      <c r="E33" s="19">
        <f t="shared" ref="E33:F33" si="23">-E19-E20-E21</f>
        <v>-46</v>
      </c>
      <c r="F33" s="19">
        <f t="shared" si="23"/>
        <v>11</v>
      </c>
      <c r="G33" s="19">
        <f t="shared" ref="G33:X33" si="24">-G19-G20-G21</f>
        <v>-44</v>
      </c>
      <c r="H33" s="19">
        <f t="shared" si="24"/>
        <v>25</v>
      </c>
      <c r="I33" s="19">
        <f t="shared" si="24"/>
        <v>-25</v>
      </c>
      <c r="J33" s="19">
        <f t="shared" si="24"/>
        <v>6</v>
      </c>
      <c r="K33" s="19">
        <f t="shared" si="24"/>
        <v>-37.4</v>
      </c>
      <c r="L33" s="19">
        <f t="shared" si="24"/>
        <v>-9.6</v>
      </c>
      <c r="M33" s="19">
        <f t="shared" si="24"/>
        <v>2</v>
      </c>
      <c r="N33" s="19">
        <f t="shared" si="24"/>
        <v>-15</v>
      </c>
      <c r="O33" s="19">
        <f t="shared" si="24"/>
        <v>-42.099999999999994</v>
      </c>
      <c r="P33" s="19">
        <f t="shared" si="24"/>
        <v>-27.1</v>
      </c>
      <c r="Q33" s="19">
        <f t="shared" si="24"/>
        <v>-59.4</v>
      </c>
      <c r="R33" s="19">
        <f t="shared" si="24"/>
        <v>-45.3</v>
      </c>
      <c r="S33" s="19">
        <f t="shared" si="24"/>
        <v>33.299999999999997</v>
      </c>
      <c r="T33" s="19">
        <f t="shared" si="24"/>
        <v>-13.4</v>
      </c>
      <c r="U33" s="19">
        <f t="shared" si="24"/>
        <v>-0.29999999999999893</v>
      </c>
      <c r="V33" s="19">
        <f t="shared" si="24"/>
        <v>-27.299999999999997</v>
      </c>
      <c r="W33" s="19">
        <f t="shared" si="24"/>
        <v>-62.3</v>
      </c>
      <c r="X33" s="19">
        <f t="shared" si="24"/>
        <v>-38.1</v>
      </c>
    </row>
    <row r="34" spans="1:24" s="11" customFormat="1" x14ac:dyDescent="0.2">
      <c r="A34" s="19" t="s">
        <v>18</v>
      </c>
      <c r="B34" s="21">
        <f t="shared" ref="B34" si="25">B35-B29-B30-B31-B32-B33</f>
        <v>-15</v>
      </c>
      <c r="C34" s="21">
        <f t="shared" ref="C34:D34" si="26">C35-C29-C30-C31-C32-C33</f>
        <v>124</v>
      </c>
      <c r="D34" s="21">
        <f t="shared" si="26"/>
        <v>65</v>
      </c>
      <c r="E34" s="21">
        <f t="shared" ref="E34:F34" si="27">E35-E29-E30-E31-E32-E33</f>
        <v>29</v>
      </c>
      <c r="F34" s="21">
        <f t="shared" si="27"/>
        <v>-56</v>
      </c>
      <c r="G34" s="21">
        <f t="shared" ref="G34:X34" si="28">G35-G29-G30-G31-G32-G33</f>
        <v>81</v>
      </c>
      <c r="H34" s="21">
        <f t="shared" si="28"/>
        <v>-106</v>
      </c>
      <c r="I34" s="21">
        <f t="shared" si="28"/>
        <v>-15</v>
      </c>
      <c r="J34" s="21">
        <f t="shared" si="28"/>
        <v>5</v>
      </c>
      <c r="K34" s="21">
        <f t="shared" si="28"/>
        <v>19.299999999999976</v>
      </c>
      <c r="L34" s="21">
        <f t="shared" si="28"/>
        <v>-66.699999999999847</v>
      </c>
      <c r="M34" s="21">
        <f t="shared" si="28"/>
        <v>-55.600000000000023</v>
      </c>
      <c r="N34" s="21">
        <f t="shared" si="28"/>
        <v>285</v>
      </c>
      <c r="O34" s="21">
        <f t="shared" si="28"/>
        <v>-468.79999999999984</v>
      </c>
      <c r="P34" s="21">
        <f t="shared" si="28"/>
        <v>38.500000000000028</v>
      </c>
      <c r="Q34" s="21">
        <f t="shared" si="28"/>
        <v>114.29999999999998</v>
      </c>
      <c r="R34" s="21">
        <f t="shared" si="28"/>
        <v>-11.49999999999995</v>
      </c>
      <c r="S34" s="21">
        <f t="shared" si="28"/>
        <v>12.200000000000045</v>
      </c>
      <c r="T34" s="21">
        <f t="shared" si="28"/>
        <v>-45.699999999999996</v>
      </c>
      <c r="U34" s="21">
        <f t="shared" si="28"/>
        <v>-11.500000000000048</v>
      </c>
      <c r="V34" s="21">
        <f t="shared" si="28"/>
        <v>-2.5</v>
      </c>
      <c r="W34" s="21">
        <f t="shared" si="28"/>
        <v>-76.699999999999946</v>
      </c>
      <c r="X34" s="21">
        <f t="shared" si="28"/>
        <v>-303.00000000000006</v>
      </c>
    </row>
    <row r="35" spans="1:24" s="20" customFormat="1" x14ac:dyDescent="0.2">
      <c r="A35" s="20" t="s">
        <v>17</v>
      </c>
      <c r="B35" s="20">
        <v>266</v>
      </c>
      <c r="C35" s="20">
        <f>921-D35-E35-F35</f>
        <v>313</v>
      </c>
      <c r="D35" s="20">
        <f>608-E35-F35</f>
        <v>412</v>
      </c>
      <c r="E35" s="20">
        <f>196-F35</f>
        <v>60</v>
      </c>
      <c r="F35" s="20">
        <v>136</v>
      </c>
      <c r="G35" s="20">
        <f>1476-H35-I35-J35</f>
        <v>565</v>
      </c>
      <c r="H35" s="20">
        <f>911-I35-J35</f>
        <v>436</v>
      </c>
      <c r="I35" s="20">
        <f>475-J35</f>
        <v>321</v>
      </c>
      <c r="J35" s="20">
        <v>154</v>
      </c>
      <c r="K35" s="20">
        <f>1165-L35-M35-N35</f>
        <v>491.9</v>
      </c>
      <c r="L35" s="20">
        <f>673.1-M35-N35</f>
        <v>385.70000000000005</v>
      </c>
      <c r="M35" s="20">
        <f>287.4-N35</f>
        <v>398.4</v>
      </c>
      <c r="N35" s="20">
        <v>-111</v>
      </c>
      <c r="O35" s="20">
        <f>1391-R35-Q35-P35</f>
        <v>546.90000000000009</v>
      </c>
      <c r="P35" s="20">
        <f>844.1-Q35-R35</f>
        <v>363.1</v>
      </c>
      <c r="Q35" s="20">
        <f>481-R35</f>
        <v>205.39999999999998</v>
      </c>
      <c r="R35" s="20">
        <v>275.60000000000002</v>
      </c>
      <c r="S35" s="20">
        <f>1269-V35-U35-T35</f>
        <v>350.00000000000006</v>
      </c>
      <c r="T35" s="20">
        <f>919-U35-V35</f>
        <v>413.7</v>
      </c>
      <c r="U35" s="20">
        <f>505.3-V35</f>
        <v>322</v>
      </c>
      <c r="V35" s="20">
        <v>183.3</v>
      </c>
      <c r="W35" s="20">
        <f>1204.8-950.4</f>
        <v>254.39999999999998</v>
      </c>
      <c r="X35" s="20">
        <f>950.4-508.2</f>
        <v>442.2</v>
      </c>
    </row>
    <row r="36" spans="1:24" s="11" customFormat="1" x14ac:dyDescent="0.2">
      <c r="A36" s="19" t="s">
        <v>16</v>
      </c>
      <c r="B36" s="21">
        <v>-15</v>
      </c>
      <c r="C36" s="21">
        <f>-117-D36-E36-F36</f>
        <v>-46</v>
      </c>
      <c r="D36" s="21">
        <f>-71-E36-F36</f>
        <v>-32</v>
      </c>
      <c r="E36" s="21">
        <f>-39-F36</f>
        <v>-20</v>
      </c>
      <c r="F36" s="21">
        <v>-19</v>
      </c>
      <c r="G36" s="21">
        <f>-62-H36-J36-I36</f>
        <v>-30</v>
      </c>
      <c r="H36" s="21">
        <f>-32-I36-J36</f>
        <v>-18</v>
      </c>
      <c r="I36" s="21">
        <f>-14-J36</f>
        <v>-9</v>
      </c>
      <c r="J36" s="21">
        <v>-5</v>
      </c>
      <c r="K36" s="21">
        <f>-86-L36-M36-N36</f>
        <v>-32.700000000000003</v>
      </c>
      <c r="L36" s="21">
        <f>-53.3-M36-N36</f>
        <v>-31.699999999999996</v>
      </c>
      <c r="M36" s="21">
        <f>-21.6-N36</f>
        <v>-14.600000000000001</v>
      </c>
      <c r="N36" s="21">
        <v>-7</v>
      </c>
      <c r="O36" s="21">
        <f>-37-P36-Q36-R36</f>
        <v>-20.100000000000001</v>
      </c>
      <c r="P36" s="21">
        <f>-16.9-R36-Q36</f>
        <v>-5.1999999999999993</v>
      </c>
      <c r="Q36" s="21">
        <f>-11.7-R36</f>
        <v>-7.6</v>
      </c>
      <c r="R36" s="21">
        <v>-4.0999999999999996</v>
      </c>
      <c r="S36" s="21">
        <f>-33.7-V36-U36-T36</f>
        <v>-15.5</v>
      </c>
      <c r="T36" s="21">
        <f>-18.2-V36-U36</f>
        <v>-5.3999999999999986</v>
      </c>
      <c r="U36" s="21">
        <f>-12.8-V36</f>
        <v>-7.2000000000000011</v>
      </c>
      <c r="V36" s="21">
        <v>-5.6</v>
      </c>
      <c r="W36" s="21">
        <f>-115.3+82.9</f>
        <v>-32.399999999999991</v>
      </c>
      <c r="X36" s="21">
        <f>-82.9+57</f>
        <v>-25.900000000000006</v>
      </c>
    </row>
    <row r="37" spans="1:24" s="20" customFormat="1" x14ac:dyDescent="0.2">
      <c r="A37" s="20" t="s">
        <v>15</v>
      </c>
      <c r="B37" s="20">
        <f t="shared" ref="B37:X37" si="29">+B35+B36</f>
        <v>251</v>
      </c>
      <c r="C37" s="20">
        <f t="shared" si="29"/>
        <v>267</v>
      </c>
      <c r="D37" s="20">
        <f t="shared" si="29"/>
        <v>380</v>
      </c>
      <c r="E37" s="20">
        <f t="shared" si="29"/>
        <v>40</v>
      </c>
      <c r="F37" s="20">
        <f t="shared" si="29"/>
        <v>117</v>
      </c>
      <c r="G37" s="20">
        <f t="shared" si="29"/>
        <v>535</v>
      </c>
      <c r="H37" s="20">
        <f t="shared" si="29"/>
        <v>418</v>
      </c>
      <c r="I37" s="20">
        <f t="shared" si="29"/>
        <v>312</v>
      </c>
      <c r="J37" s="20">
        <f t="shared" si="29"/>
        <v>149</v>
      </c>
      <c r="K37" s="20">
        <f t="shared" si="29"/>
        <v>459.2</v>
      </c>
      <c r="L37" s="20">
        <f t="shared" si="29"/>
        <v>354.00000000000006</v>
      </c>
      <c r="M37" s="20">
        <f t="shared" si="29"/>
        <v>383.79999999999995</v>
      </c>
      <c r="N37" s="20">
        <f t="shared" si="29"/>
        <v>-118</v>
      </c>
      <c r="O37" s="20">
        <f t="shared" si="29"/>
        <v>526.80000000000007</v>
      </c>
      <c r="P37" s="20">
        <f t="shared" si="29"/>
        <v>357.90000000000003</v>
      </c>
      <c r="Q37" s="20">
        <f t="shared" si="29"/>
        <v>197.79999999999998</v>
      </c>
      <c r="R37" s="20">
        <f t="shared" si="29"/>
        <v>271.5</v>
      </c>
      <c r="S37" s="20">
        <f t="shared" si="29"/>
        <v>334.50000000000006</v>
      </c>
      <c r="T37" s="20">
        <f t="shared" si="29"/>
        <v>408.3</v>
      </c>
      <c r="U37" s="20">
        <f t="shared" si="29"/>
        <v>314.8</v>
      </c>
      <c r="V37" s="20">
        <f t="shared" si="29"/>
        <v>177.70000000000002</v>
      </c>
      <c r="W37" s="20">
        <f t="shared" si="29"/>
        <v>222</v>
      </c>
      <c r="X37" s="20">
        <f t="shared" si="29"/>
        <v>416.29999999999995</v>
      </c>
    </row>
    <row r="39" spans="1:24" s="16" customFormat="1" x14ac:dyDescent="0.2">
      <c r="A39" s="18" t="s">
        <v>14</v>
      </c>
      <c r="B39" s="19">
        <v>0</v>
      </c>
      <c r="C39" s="19">
        <v>0</v>
      </c>
      <c r="D39" s="19">
        <v>0</v>
      </c>
      <c r="E39" s="19">
        <v>0</v>
      </c>
      <c r="F39" s="19">
        <v>995</v>
      </c>
      <c r="G39" s="19">
        <v>0</v>
      </c>
      <c r="H39" s="19">
        <v>0</v>
      </c>
      <c r="I39" s="19">
        <v>0</v>
      </c>
      <c r="J39" s="19">
        <v>0</v>
      </c>
      <c r="K39" s="19">
        <v>0</v>
      </c>
      <c r="L39" s="19">
        <v>0</v>
      </c>
      <c r="M39" s="19">
        <v>0</v>
      </c>
      <c r="N39" s="19">
        <v>0</v>
      </c>
      <c r="O39" s="19">
        <v>0</v>
      </c>
      <c r="P39" s="19">
        <v>0</v>
      </c>
      <c r="Q39" s="19">
        <v>0</v>
      </c>
      <c r="R39" s="19">
        <v>0</v>
      </c>
      <c r="S39" s="19">
        <v>0</v>
      </c>
      <c r="T39" s="19">
        <v>0</v>
      </c>
      <c r="U39" s="19">
        <v>0</v>
      </c>
      <c r="V39" s="19"/>
      <c r="W39" s="19"/>
      <c r="X39" s="19"/>
    </row>
    <row r="40" spans="1:24" s="16" customFormat="1" x14ac:dyDescent="0.2">
      <c r="A40" s="18" t="s">
        <v>13</v>
      </c>
      <c r="B40" s="19">
        <f>5283+727+179</f>
        <v>6189</v>
      </c>
      <c r="C40" s="19">
        <f>5297+731+178</f>
        <v>6206</v>
      </c>
      <c r="D40" s="19">
        <f>5310+736+171</f>
        <v>6217</v>
      </c>
      <c r="E40" s="19">
        <f>5323+741+169</f>
        <v>6233</v>
      </c>
      <c r="F40" s="19">
        <f>5337+745+163</f>
        <v>6245</v>
      </c>
      <c r="G40" s="19">
        <f>5350+750+81</f>
        <v>6181</v>
      </c>
      <c r="H40" s="19">
        <f>6070+750</f>
        <v>6820</v>
      </c>
      <c r="I40" s="19">
        <v>6305</v>
      </c>
      <c r="J40" s="19">
        <v>6322</v>
      </c>
      <c r="K40" s="19">
        <f>6338</f>
        <v>6338</v>
      </c>
      <c r="L40" s="19">
        <f>6340.3</f>
        <v>6340.3</v>
      </c>
      <c r="M40" s="19">
        <v>6356.5</v>
      </c>
      <c r="N40" s="19">
        <v>6372.6</v>
      </c>
      <c r="O40" s="19">
        <v>6288.7</v>
      </c>
      <c r="P40" s="19">
        <v>6404.8</v>
      </c>
      <c r="Q40" s="19">
        <v>6421</v>
      </c>
      <c r="R40" s="19">
        <v>6187.1</v>
      </c>
      <c r="S40" s="19">
        <v>5046.1000000000004</v>
      </c>
      <c r="T40" s="19">
        <v>5059</v>
      </c>
      <c r="U40" s="19">
        <v>5071.8999999999996</v>
      </c>
      <c r="V40" s="19"/>
      <c r="W40" s="19"/>
      <c r="X40" s="19"/>
    </row>
    <row r="41" spans="1:24" s="16" customFormat="1" x14ac:dyDescent="0.2">
      <c r="A41" s="18" t="s">
        <v>12</v>
      </c>
      <c r="B41" s="19">
        <f>+B39+B40+775+750+500+750+750+2900</f>
        <v>12614</v>
      </c>
      <c r="C41" s="19">
        <f>C39+C40+775+750+500+750+750+2900</f>
        <v>12631</v>
      </c>
      <c r="D41" s="19">
        <f>D39+D40+1500+750+500+2800+750</f>
        <v>12517</v>
      </c>
      <c r="E41" s="19">
        <f>E39+E40+1500+750+500+2800+750</f>
        <v>12533</v>
      </c>
      <c r="F41" s="19">
        <f>F39+F40+1500+750+2800+750</f>
        <v>13040</v>
      </c>
      <c r="G41" s="19">
        <f>G39+G40+1500+750+2800+750</f>
        <v>11981</v>
      </c>
      <c r="H41" s="19">
        <f>H39+H40+1250+1500+750+2800+79-750-500</f>
        <v>11949</v>
      </c>
      <c r="I41" s="19">
        <f>I39+I40+1500+1250+2800+80</f>
        <v>11935</v>
      </c>
      <c r="J41" s="19">
        <f>J39+J40+1500+1250+2800+81</f>
        <v>11953</v>
      </c>
      <c r="K41" s="19">
        <f>K39+K40+1500+1250+2800+150</f>
        <v>12038</v>
      </c>
      <c r="L41" s="19">
        <f>L39+L40+1500+1250+2800+82.4</f>
        <v>11972.699999999999</v>
      </c>
      <c r="M41" s="19">
        <f>M39+M40+1500+1250+2800+82.3</f>
        <v>11988.8</v>
      </c>
      <c r="N41" s="19">
        <f>N39+N40+1500+1250+2800+85.2</f>
        <v>12007.800000000001</v>
      </c>
      <c r="O41" s="19">
        <f>O39+O40+1500+1250+2800+89.1</f>
        <v>11927.800000000001</v>
      </c>
      <c r="P41" s="19">
        <f>P39+P40+1500+1250+1300+1000+5.2+86.1</f>
        <v>11546.1</v>
      </c>
      <c r="Q41" s="19">
        <f>Q39+Q40+1500+1250+2250+5+84.1</f>
        <v>11510.1</v>
      </c>
      <c r="R41" s="19">
        <f>R39+R40+1250+2250+41+87.4</f>
        <v>9815.5</v>
      </c>
      <c r="S41" s="19">
        <f>S39+S40+1250+2250+40.6+85.4</f>
        <v>8672.1</v>
      </c>
      <c r="T41" s="19">
        <f>T39+T40+1250+2250+41.6+92.6</f>
        <v>8693.2000000000007</v>
      </c>
      <c r="U41" s="19">
        <f>U39+U40+1250+2250+42.2+93.5</f>
        <v>8707.6</v>
      </c>
      <c r="V41" s="19"/>
      <c r="W41" s="19"/>
      <c r="X41" s="19"/>
    </row>
    <row r="42" spans="1:24" s="16" customFormat="1" x14ac:dyDescent="0.2">
      <c r="A42" s="18" t="s">
        <v>11</v>
      </c>
      <c r="B42" s="17">
        <f>306974884/1000000*66.25</f>
        <v>20337.086065</v>
      </c>
      <c r="C42" s="17">
        <f>305144809/1000000*59.3</f>
        <v>18095.087173699998</v>
      </c>
      <c r="D42" s="17">
        <f>303902641/1000000*56.69</f>
        <v>17228.240718289999</v>
      </c>
      <c r="E42" s="17">
        <f>303113259/1000000*56.52</f>
        <v>17131.961398680003</v>
      </c>
      <c r="F42" s="17">
        <f>300161676/1000000*46.79</f>
        <v>14044.564820039999</v>
      </c>
      <c r="G42" s="17">
        <f>298425192/1000000*57.11</f>
        <v>17043.062715119999</v>
      </c>
      <c r="H42" s="17">
        <f>298114230/1000000*65.5</f>
        <v>19526.482065</v>
      </c>
      <c r="I42" s="17">
        <f>255752583/1000000*75.23</f>
        <v>19240.26681909</v>
      </c>
      <c r="J42" s="17">
        <f>253893826/1000000*65.5</f>
        <v>16630.045602999999</v>
      </c>
      <c r="K42" s="17">
        <f>251557945/1000000*62.49</f>
        <v>15719.85598305</v>
      </c>
      <c r="L42" s="17">
        <f>251315753/1000000*57.39</f>
        <v>14423.01106467</v>
      </c>
      <c r="M42" s="17">
        <f>250012986/1000000*57.59</f>
        <v>14398.247863740002</v>
      </c>
      <c r="N42" s="17">
        <f>249161445/1000000*56.63</f>
        <v>14110.01263035</v>
      </c>
      <c r="O42" s="17">
        <f>243935852/1000000*61.48</f>
        <v>14997.176180959999</v>
      </c>
      <c r="P42" s="17">
        <f>237532560/1000000*61.09</f>
        <v>14510.8640904</v>
      </c>
      <c r="Q42" s="17">
        <f>236263566/1000000*67.43</f>
        <v>15931.252255380001</v>
      </c>
      <c r="R42" s="17">
        <f>235617365/1000000*56.6</f>
        <v>13335.942859000001</v>
      </c>
      <c r="S42" s="17">
        <f>234635326/1000000*51.42</f>
        <v>12064.94846292</v>
      </c>
      <c r="T42" s="17">
        <f>234111128/1000000*47</f>
        <v>11003.223016</v>
      </c>
      <c r="U42" s="17">
        <f>233777402/1000000*45.07</f>
        <v>10536.347508139999</v>
      </c>
      <c r="V42" s="17"/>
      <c r="W42" s="17"/>
      <c r="X42" s="17"/>
    </row>
    <row r="43" spans="1:24" x14ac:dyDescent="0.2">
      <c r="B43" s="16"/>
      <c r="C43" s="16"/>
      <c r="D43" s="16"/>
      <c r="E43" s="16"/>
      <c r="F43" s="16"/>
      <c r="G43" s="16"/>
      <c r="H43" s="16"/>
      <c r="I43" s="16"/>
      <c r="J43" s="16"/>
      <c r="K43" s="16"/>
      <c r="L43" s="16"/>
      <c r="M43" s="16"/>
      <c r="N43" s="16"/>
      <c r="O43" s="16"/>
      <c r="P43" s="16"/>
      <c r="Q43" s="16"/>
      <c r="R43" s="16"/>
      <c r="S43" s="16"/>
    </row>
    <row r="44" spans="1:24" x14ac:dyDescent="0.2">
      <c r="A44" s="15" t="s">
        <v>10</v>
      </c>
      <c r="B44" s="27">
        <v>1563</v>
      </c>
      <c r="C44" s="27">
        <v>1560</v>
      </c>
      <c r="D44" s="27">
        <v>1919</v>
      </c>
      <c r="E44" s="27">
        <v>1540</v>
      </c>
      <c r="F44" s="27">
        <v>2498</v>
      </c>
      <c r="G44" s="27">
        <v>1533</v>
      </c>
      <c r="H44" s="27">
        <f>1732-750+750-500</f>
        <v>1232</v>
      </c>
      <c r="I44" s="27">
        <v>1028</v>
      </c>
      <c r="J44" s="27">
        <v>902</v>
      </c>
      <c r="K44" s="27">
        <v>913</v>
      </c>
      <c r="L44" s="27">
        <v>1143.5</v>
      </c>
      <c r="M44" s="27">
        <v>987.5</v>
      </c>
      <c r="N44" s="27">
        <v>852.4</v>
      </c>
      <c r="O44" s="27">
        <v>1097.4000000000001</v>
      </c>
      <c r="P44" s="27">
        <v>3607.1</v>
      </c>
      <c r="Q44" s="27">
        <v>3435.5</v>
      </c>
      <c r="R44" s="27">
        <v>923.9</v>
      </c>
      <c r="S44" s="27">
        <v>1460.4</v>
      </c>
      <c r="T44" s="27">
        <v>1274.4000000000001</v>
      </c>
      <c r="U44" s="27">
        <v>998.1</v>
      </c>
      <c r="V44" s="27"/>
      <c r="W44" s="27"/>
      <c r="X44" s="27"/>
    </row>
    <row r="46" spans="1:24" x14ac:dyDescent="0.2">
      <c r="A46" s="1" t="s">
        <v>9</v>
      </c>
      <c r="B46" s="11">
        <f t="shared" ref="B46:U46" si="30">SUM(B12:E12)</f>
        <v>5003</v>
      </c>
      <c r="C46" s="11">
        <f t="shared" si="30"/>
        <v>4968</v>
      </c>
      <c r="D46" s="11">
        <f t="shared" si="30"/>
        <v>5089</v>
      </c>
      <c r="E46" s="11">
        <f t="shared" si="30"/>
        <v>5210</v>
      </c>
      <c r="F46" s="11">
        <f t="shared" si="30"/>
        <v>5562</v>
      </c>
      <c r="G46" s="11">
        <f t="shared" si="30"/>
        <v>5603</v>
      </c>
      <c r="H46" s="11">
        <f t="shared" si="30"/>
        <v>5508.2999999999993</v>
      </c>
      <c r="I46" s="11">
        <f t="shared" si="30"/>
        <v>5425.5999999999995</v>
      </c>
      <c r="J46" s="11">
        <f t="shared" si="30"/>
        <v>5369</v>
      </c>
      <c r="K46" s="11">
        <f t="shared" si="30"/>
        <v>5357</v>
      </c>
      <c r="L46" s="11">
        <f t="shared" si="30"/>
        <v>5206.8999999999996</v>
      </c>
      <c r="M46" s="11">
        <f t="shared" si="30"/>
        <v>5040.2000000000007</v>
      </c>
      <c r="N46" s="11">
        <f t="shared" si="30"/>
        <v>4829.5</v>
      </c>
      <c r="O46" s="11">
        <f t="shared" si="30"/>
        <v>4576.1000000000004</v>
      </c>
      <c r="P46" s="11">
        <f t="shared" si="30"/>
        <v>4453.3</v>
      </c>
      <c r="Q46" s="11">
        <f t="shared" si="30"/>
        <v>4320.4000000000005</v>
      </c>
      <c r="R46" s="11">
        <f t="shared" si="30"/>
        <v>4227.9000000000005</v>
      </c>
      <c r="S46" s="11">
        <f t="shared" si="30"/>
        <v>4145.8</v>
      </c>
      <c r="T46" s="11">
        <f t="shared" si="30"/>
        <v>4091.4</v>
      </c>
      <c r="U46" s="11">
        <f t="shared" si="30"/>
        <v>4035.3999999999996</v>
      </c>
    </row>
    <row r="47" spans="1:24" x14ac:dyDescent="0.2">
      <c r="A47" s="1" t="s">
        <v>8</v>
      </c>
      <c r="B47" s="11">
        <f t="shared" ref="B47:C47" si="31">+B27</f>
        <v>1900</v>
      </c>
      <c r="C47" s="11">
        <f t="shared" si="31"/>
        <v>1864</v>
      </c>
      <c r="D47" s="11">
        <f t="shared" ref="D47:E47" si="32">+D27</f>
        <v>1985</v>
      </c>
      <c r="E47" s="11">
        <f t="shared" si="32"/>
        <v>2026</v>
      </c>
      <c r="F47" s="11">
        <f t="shared" ref="F47:G47" si="33">+F27</f>
        <v>2248</v>
      </c>
      <c r="G47" s="11">
        <f t="shared" si="33"/>
        <v>2304</v>
      </c>
      <c r="H47" s="11">
        <f t="shared" ref="H47:I47" si="34">+H27</f>
        <v>2262.6</v>
      </c>
      <c r="I47" s="11">
        <f t="shared" si="34"/>
        <v>2232</v>
      </c>
      <c r="J47" s="11">
        <f t="shared" ref="J47:K47" si="35">+J27</f>
        <v>2214</v>
      </c>
      <c r="K47" s="11">
        <f t="shared" si="35"/>
        <v>2212</v>
      </c>
      <c r="L47" s="11">
        <f t="shared" ref="L47:U47" si="36">+L27</f>
        <v>2237.6999999999998</v>
      </c>
      <c r="M47" s="11">
        <f t="shared" si="36"/>
        <v>2231.4</v>
      </c>
      <c r="N47" s="11">
        <f t="shared" si="36"/>
        <v>2200.5</v>
      </c>
      <c r="O47" s="11">
        <f t="shared" si="36"/>
        <v>2145.8000000000002</v>
      </c>
      <c r="P47" s="11">
        <f t="shared" si="36"/>
        <v>2051.9</v>
      </c>
      <c r="Q47" s="11">
        <f t="shared" si="36"/>
        <v>1975.7000000000003</v>
      </c>
      <c r="R47" s="11">
        <f t="shared" si="36"/>
        <v>1923.6999999999998</v>
      </c>
      <c r="S47" s="11">
        <f t="shared" si="36"/>
        <v>1888.2</v>
      </c>
      <c r="T47" s="11">
        <f t="shared" si="36"/>
        <v>2110.6</v>
      </c>
      <c r="U47" s="11">
        <f t="shared" si="36"/>
        <v>2062.4</v>
      </c>
    </row>
    <row r="48" spans="1:24" x14ac:dyDescent="0.2">
      <c r="A48" s="1" t="s">
        <v>7</v>
      </c>
      <c r="B48" s="11">
        <f t="shared" ref="B48:U48" si="37">+SUM(B37:E37)</f>
        <v>938</v>
      </c>
      <c r="C48" s="11">
        <f t="shared" si="37"/>
        <v>804</v>
      </c>
      <c r="D48" s="11">
        <f t="shared" si="37"/>
        <v>1072</v>
      </c>
      <c r="E48" s="11">
        <f t="shared" si="37"/>
        <v>1110</v>
      </c>
      <c r="F48" s="11">
        <f t="shared" si="37"/>
        <v>1382</v>
      </c>
      <c r="G48" s="11">
        <f t="shared" si="37"/>
        <v>1414</v>
      </c>
      <c r="H48" s="11">
        <f t="shared" si="37"/>
        <v>1338.2</v>
      </c>
      <c r="I48" s="11">
        <f t="shared" si="37"/>
        <v>1274.2</v>
      </c>
      <c r="J48" s="11">
        <f t="shared" si="37"/>
        <v>1346</v>
      </c>
      <c r="K48" s="11">
        <f t="shared" si="37"/>
        <v>1079</v>
      </c>
      <c r="L48" s="11">
        <f t="shared" si="37"/>
        <v>1146.5999999999999</v>
      </c>
      <c r="M48" s="11">
        <f t="shared" si="37"/>
        <v>1150.5</v>
      </c>
      <c r="N48" s="11">
        <f t="shared" si="37"/>
        <v>964.5</v>
      </c>
      <c r="O48" s="11">
        <f t="shared" si="37"/>
        <v>1354</v>
      </c>
      <c r="P48" s="11">
        <f t="shared" si="37"/>
        <v>1161.7</v>
      </c>
      <c r="Q48" s="11">
        <f t="shared" si="37"/>
        <v>1212.0999999999999</v>
      </c>
      <c r="R48" s="11">
        <f t="shared" si="37"/>
        <v>1329.1</v>
      </c>
      <c r="S48" s="11">
        <f t="shared" si="37"/>
        <v>1235.3000000000002</v>
      </c>
      <c r="T48" s="11">
        <f t="shared" si="37"/>
        <v>1122.8000000000002</v>
      </c>
      <c r="U48" s="11">
        <f t="shared" si="37"/>
        <v>1130.8</v>
      </c>
    </row>
    <row r="50" spans="1:24" s="10" customFormat="1" x14ac:dyDescent="0.2">
      <c r="A50" s="10" t="s">
        <v>6</v>
      </c>
      <c r="B50" s="10">
        <f t="shared" ref="B50:C50" si="38">+SUM(B39:B40)/B47</f>
        <v>3.2573684210526315</v>
      </c>
      <c r="C50" s="10">
        <f t="shared" si="38"/>
        <v>3.3293991416309012</v>
      </c>
      <c r="D50" s="10">
        <f t="shared" ref="D50:E50" si="39">+SUM(D39:D40)/D47</f>
        <v>3.1319899244332494</v>
      </c>
      <c r="E50" s="10">
        <f t="shared" si="39"/>
        <v>3.0765054294175718</v>
      </c>
      <c r="F50" s="10">
        <f t="shared" ref="F50:G50" si="40">+SUM(F39:F40)/F47</f>
        <v>3.2206405693950177</v>
      </c>
      <c r="G50" s="10">
        <f t="shared" si="40"/>
        <v>2.6827256944444446</v>
      </c>
      <c r="H50" s="10">
        <f t="shared" ref="H50:I50" si="41">+SUM(H39:H40)/H47</f>
        <v>3.0142314151860692</v>
      </c>
      <c r="I50" s="10">
        <f t="shared" si="41"/>
        <v>2.8248207885304661</v>
      </c>
      <c r="J50" s="10">
        <f t="shared" ref="J50:K50" si="42">+SUM(J39:J40)/J47</f>
        <v>2.8554652213188798</v>
      </c>
      <c r="K50" s="10">
        <f t="shared" si="42"/>
        <v>2.8652802893309222</v>
      </c>
      <c r="L50" s="10">
        <f t="shared" ref="L50:M50" si="43">+SUM(L39:L40)/L47</f>
        <v>2.8334003664476923</v>
      </c>
      <c r="M50" s="10">
        <f t="shared" si="43"/>
        <v>2.8486600340593347</v>
      </c>
      <c r="N50" s="10">
        <f t="shared" ref="N50:U50" si="44">+SUM(N39:N40)/N47</f>
        <v>2.895978186775733</v>
      </c>
      <c r="O50" s="10">
        <f t="shared" si="44"/>
        <v>2.930701836145027</v>
      </c>
      <c r="P50" s="10">
        <f t="shared" si="44"/>
        <v>3.121399678346898</v>
      </c>
      <c r="Q50" s="10">
        <f t="shared" si="44"/>
        <v>3.2499873462570226</v>
      </c>
      <c r="R50" s="10">
        <f t="shared" si="44"/>
        <v>3.2162499350210538</v>
      </c>
      <c r="S50" s="10">
        <f t="shared" si="44"/>
        <v>2.6724393602372629</v>
      </c>
      <c r="T50" s="10">
        <f t="shared" si="44"/>
        <v>2.3969487349568843</v>
      </c>
      <c r="U50" s="10">
        <f t="shared" si="44"/>
        <v>2.4592222653219546</v>
      </c>
    </row>
    <row r="51" spans="1:24" s="10" customFormat="1" x14ac:dyDescent="0.2">
      <c r="A51" s="10" t="s">
        <v>5</v>
      </c>
      <c r="B51" s="10">
        <f t="shared" ref="B51:C51" si="45">+B41/B47</f>
        <v>6.6389473684210527</v>
      </c>
      <c r="C51" s="10">
        <f t="shared" si="45"/>
        <v>6.7762875536480687</v>
      </c>
      <c r="D51" s="10">
        <f t="shared" ref="D51:E51" si="46">+D41/D47</f>
        <v>6.3057934508816125</v>
      </c>
      <c r="E51" s="10">
        <f t="shared" si="46"/>
        <v>6.1860809476801579</v>
      </c>
      <c r="F51" s="10">
        <f t="shared" ref="F51:G51" si="47">+F41/F47</f>
        <v>5.8007117437722417</v>
      </c>
      <c r="G51" s="10">
        <f t="shared" si="47"/>
        <v>5.2000868055555554</v>
      </c>
      <c r="H51" s="10">
        <f t="shared" ref="H51:I51" si="48">+H41/H47</f>
        <v>5.2810925483956517</v>
      </c>
      <c r="I51" s="10">
        <f t="shared" si="48"/>
        <v>5.3472222222222223</v>
      </c>
      <c r="J51" s="10">
        <f t="shared" ref="J51:K51" si="49">+J41/J47</f>
        <v>5.3988256549232156</v>
      </c>
      <c r="K51" s="10">
        <f t="shared" si="49"/>
        <v>5.4421338155515366</v>
      </c>
      <c r="L51" s="10">
        <f t="shared" ref="L51:U51" si="50">+L41/L47</f>
        <v>5.3504491218662018</v>
      </c>
      <c r="M51" s="10">
        <f t="shared" si="50"/>
        <v>5.372770458008425</v>
      </c>
      <c r="N51" s="10">
        <f t="shared" si="50"/>
        <v>5.4568507157464214</v>
      </c>
      <c r="O51" s="10">
        <f t="shared" si="50"/>
        <v>5.5586727560816476</v>
      </c>
      <c r="P51" s="10">
        <f t="shared" si="50"/>
        <v>5.6270286076319511</v>
      </c>
      <c r="Q51" s="10">
        <f t="shared" si="50"/>
        <v>5.8258338816621951</v>
      </c>
      <c r="R51" s="10">
        <f t="shared" si="50"/>
        <v>5.102406820190259</v>
      </c>
      <c r="S51" s="10">
        <f t="shared" si="50"/>
        <v>4.5927867810613288</v>
      </c>
      <c r="T51" s="10">
        <f t="shared" si="50"/>
        <v>4.1188287690704071</v>
      </c>
      <c r="U51" s="10">
        <f t="shared" si="50"/>
        <v>4.2220713731574868</v>
      </c>
    </row>
    <row r="52" spans="1:24" s="10" customFormat="1" x14ac:dyDescent="0.2">
      <c r="A52" s="10" t="s">
        <v>4</v>
      </c>
      <c r="B52" s="10">
        <f t="shared" ref="B52:C52" si="51">+(B41-B44)/B47</f>
        <v>5.8163157894736841</v>
      </c>
      <c r="C52" s="10">
        <f t="shared" si="51"/>
        <v>5.9393776824034337</v>
      </c>
      <c r="D52" s="10">
        <f t="shared" ref="D52:E52" si="52">+(D41-D44)/D47</f>
        <v>5.3390428211586904</v>
      </c>
      <c r="E52" s="10">
        <f t="shared" si="52"/>
        <v>5.4259624876604144</v>
      </c>
      <c r="F52" s="10">
        <f t="shared" ref="F52:G52" si="53">+(F41-F44)/F47</f>
        <v>4.6895017793594302</v>
      </c>
      <c r="G52" s="10">
        <f t="shared" si="53"/>
        <v>4.5347222222222223</v>
      </c>
      <c r="H52" s="10">
        <f t="shared" ref="H52:I52" si="54">+(H41-H44)/H47</f>
        <v>4.7365862282330067</v>
      </c>
      <c r="I52" s="10">
        <f t="shared" si="54"/>
        <v>4.8866487455197136</v>
      </c>
      <c r="J52" s="10">
        <f t="shared" ref="J52:K52" si="55">+(J41-J44)/J47</f>
        <v>4.9914182475158082</v>
      </c>
      <c r="K52" s="10">
        <f t="shared" si="55"/>
        <v>5.0293851717902349</v>
      </c>
      <c r="L52" s="10">
        <f t="shared" ref="L52:U52" si="56">+(L41-L44)/L47</f>
        <v>4.8394333467399564</v>
      </c>
      <c r="M52" s="10">
        <f t="shared" si="56"/>
        <v>4.9302231782737289</v>
      </c>
      <c r="N52" s="10">
        <f t="shared" si="56"/>
        <v>5.0694842081345159</v>
      </c>
      <c r="O52" s="10">
        <f t="shared" si="56"/>
        <v>5.0472551029918913</v>
      </c>
      <c r="P52" s="10">
        <f t="shared" si="56"/>
        <v>3.8690969345484669</v>
      </c>
      <c r="Q52" s="10">
        <f t="shared" si="56"/>
        <v>4.0869565217391299</v>
      </c>
      <c r="R52" s="10">
        <f t="shared" si="56"/>
        <v>4.6221344284451842</v>
      </c>
      <c r="S52" s="10">
        <f t="shared" si="56"/>
        <v>3.8193517635843666</v>
      </c>
      <c r="T52" s="10">
        <f t="shared" si="56"/>
        <v>3.5150194257557099</v>
      </c>
      <c r="U52" s="10">
        <f t="shared" si="56"/>
        <v>3.7381206361520558</v>
      </c>
    </row>
    <row r="53" spans="1:24" s="6" customFormat="1" x14ac:dyDescent="0.2">
      <c r="A53" s="6" t="s">
        <v>3</v>
      </c>
      <c r="B53" s="6">
        <f t="shared" ref="B53:C53" si="57">+B48/B41</f>
        <v>7.4361820199778023E-2</v>
      </c>
      <c r="C53" s="6">
        <f t="shared" si="57"/>
        <v>6.3652917425381997E-2</v>
      </c>
      <c r="D53" s="6">
        <f t="shared" ref="D53:E53" si="58">+D48/D41</f>
        <v>8.5643524806263485E-2</v>
      </c>
      <c r="E53" s="6">
        <f t="shared" si="58"/>
        <v>8.8566185270884862E-2</v>
      </c>
      <c r="F53" s="6">
        <f t="shared" ref="F53:G53" si="59">+F48/F41</f>
        <v>0.10598159509202454</v>
      </c>
      <c r="G53" s="6">
        <f t="shared" si="59"/>
        <v>0.11802019864785911</v>
      </c>
      <c r="H53" s="6">
        <f t="shared" ref="H53:I53" si="60">+H48/H41</f>
        <v>0.11199263536697632</v>
      </c>
      <c r="I53" s="6">
        <f t="shared" si="60"/>
        <v>0.1067616254713029</v>
      </c>
      <c r="J53" s="6">
        <f t="shared" ref="J53:K53" si="61">+J48/J41</f>
        <v>0.11260771354471681</v>
      </c>
      <c r="K53" s="6">
        <f t="shared" si="61"/>
        <v>8.9632829373650108E-2</v>
      </c>
      <c r="L53" s="6">
        <f t="shared" ref="L53:U53" si="62">+L48/L41</f>
        <v>9.5767871908592053E-2</v>
      </c>
      <c r="M53" s="6">
        <f t="shared" si="62"/>
        <v>9.5964566929133868E-2</v>
      </c>
      <c r="N53" s="6">
        <f t="shared" si="62"/>
        <v>8.0322790186378848E-2</v>
      </c>
      <c r="O53" s="6">
        <f t="shared" si="62"/>
        <v>0.11351632321132143</v>
      </c>
      <c r="P53" s="6">
        <f t="shared" si="62"/>
        <v>0.10061406015884151</v>
      </c>
      <c r="Q53" s="6">
        <f t="shared" si="62"/>
        <v>0.10530751253247148</v>
      </c>
      <c r="R53" s="6">
        <f t="shared" si="62"/>
        <v>0.13540828281799194</v>
      </c>
      <c r="S53" s="6">
        <f t="shared" si="62"/>
        <v>0.14244531313061429</v>
      </c>
      <c r="T53" s="6">
        <f t="shared" si="62"/>
        <v>0.12915842267519442</v>
      </c>
      <c r="U53" s="6">
        <f t="shared" si="62"/>
        <v>0.12986356745831226</v>
      </c>
    </row>
    <row r="54" spans="1:24" s="6" customFormat="1" x14ac:dyDescent="0.2">
      <c r="A54" s="8" t="s">
        <v>2</v>
      </c>
      <c r="B54" s="9"/>
      <c r="C54" s="9"/>
      <c r="D54" s="9"/>
      <c r="E54" s="9"/>
      <c r="F54" s="9"/>
      <c r="G54" s="9"/>
      <c r="H54" s="9"/>
      <c r="I54" s="9"/>
      <c r="J54" s="9"/>
      <c r="K54" s="9"/>
      <c r="L54" s="9"/>
      <c r="M54" s="9"/>
      <c r="N54" s="9"/>
      <c r="O54" s="9"/>
      <c r="P54" s="9"/>
      <c r="Q54" s="9"/>
      <c r="R54" s="9"/>
      <c r="S54" s="9"/>
      <c r="T54" s="9"/>
      <c r="U54" s="9"/>
      <c r="V54" s="8"/>
      <c r="W54" s="8"/>
      <c r="X54" s="8"/>
    </row>
    <row r="55" spans="1:24" s="6" customFormat="1" x14ac:dyDescent="0.2">
      <c r="A55" s="6" t="s">
        <v>1</v>
      </c>
      <c r="B55" s="7">
        <f t="shared" ref="B55:C55" si="63">IF(B42=0,IF(B54="","","*"&amp;TEXT(B54,"0.0x")),(B41+B42-B44)/B47)</f>
        <v>16.520045297368419</v>
      </c>
      <c r="C55" s="7">
        <f t="shared" si="63"/>
        <v>15.647042475160942</v>
      </c>
      <c r="D55" s="7">
        <f t="shared" ref="D55:E55" si="64">IF(D42=0,IF(D54="","","*"&amp;TEXT(D54,"0.0x")),(D41+D42-D44)/D47)</f>
        <v>14.018257288811082</v>
      </c>
      <c r="E55" s="7">
        <f t="shared" si="64"/>
        <v>13.882014510700889</v>
      </c>
      <c r="F55" s="7">
        <f t="shared" ref="F55:G55" si="65">IF(F42=0,IF(F54="","","*"&amp;TEXT(F54,"0.0x")),(F41+F42-F44)/F47)</f>
        <v>10.937083994679716</v>
      </c>
      <c r="G55" s="7">
        <f t="shared" si="65"/>
        <v>11.931884858993055</v>
      </c>
      <c r="H55" s="7">
        <f t="shared" ref="H55:I55" si="66">IF(H42=0,IF(H54="","","*"&amp;TEXT(H54,"0.0x")),(H41+H42-H44)/H47)</f>
        <v>13.366694097498454</v>
      </c>
      <c r="I55" s="7">
        <f t="shared" si="66"/>
        <v>13.506839972710573</v>
      </c>
      <c r="J55" s="7">
        <f t="shared" ref="J55:K55" si="67">IF(J42=0,IF(J54="","","*"&amp;TEXT(J54,"0.0x")),(J41+J42-J44)/J47)</f>
        <v>12.502730624661247</v>
      </c>
      <c r="K55" s="7">
        <f t="shared" si="67"/>
        <v>12.136010842246836</v>
      </c>
      <c r="L55" s="7">
        <f t="shared" ref="L55:U55" si="68">IF(L42=0,IF(L54="","","*"&amp;TEXT(L54,"0.0x")),(L41+L42-L44)/L47)</f>
        <v>11.284895680685526</v>
      </c>
      <c r="M55" s="7">
        <f t="shared" si="68"/>
        <v>11.382785634014519</v>
      </c>
      <c r="N55" s="7">
        <f t="shared" si="68"/>
        <v>11.481668998114065</v>
      </c>
      <c r="O55" s="7">
        <f t="shared" si="68"/>
        <v>12.036338978916953</v>
      </c>
      <c r="P55" s="7">
        <f t="shared" si="68"/>
        <v>10.941012763974854</v>
      </c>
      <c r="Q55" s="7">
        <f t="shared" si="68"/>
        <v>12.150555375502352</v>
      </c>
      <c r="R55" s="7">
        <f t="shared" si="68"/>
        <v>11.55457860321256</v>
      </c>
      <c r="S55" s="7">
        <f t="shared" si="68"/>
        <v>10.209007765554496</v>
      </c>
      <c r="T55" s="7">
        <f t="shared" si="68"/>
        <v>8.7283346043779027</v>
      </c>
      <c r="U55" s="7">
        <f t="shared" si="68"/>
        <v>8.8469004597265339</v>
      </c>
      <c r="V55" s="7" t="str">
        <f>IF(V42=0,IF(V54="","",CONCATENATE("* ",V54,"x")),(V41+V42-V44)/V47)</f>
        <v/>
      </c>
      <c r="W55" s="7" t="str">
        <f>IF(W42=0,IF(W54="","",CONCATENATE("* ",W54,"x")),(W41+W42-W44)/W47)</f>
        <v/>
      </c>
      <c r="X55" s="7" t="str">
        <f>IF(X42=0,IF(X54="","",CONCATENATE("* ",X54,"x")),(X41+X42-X44)/X47)</f>
        <v/>
      </c>
    </row>
    <row r="56" spans="1:24" x14ac:dyDescent="0.2">
      <c r="U56" s="3"/>
    </row>
    <row r="57" spans="1:24" ht="80.25" customHeight="1" x14ac:dyDescent="0.2">
      <c r="A57" s="5" t="s">
        <v>0</v>
      </c>
      <c r="B57" s="4" t="s">
        <v>236</v>
      </c>
      <c r="C57" s="4" t="s">
        <v>279</v>
      </c>
      <c r="D57" s="4" t="s">
        <v>236</v>
      </c>
      <c r="E57" s="4" t="s">
        <v>236</v>
      </c>
      <c r="F57" s="4" t="s">
        <v>236</v>
      </c>
      <c r="G57" s="4" t="s">
        <v>279</v>
      </c>
      <c r="H57" s="4" t="s">
        <v>236</v>
      </c>
      <c r="I57" s="4" t="s">
        <v>236</v>
      </c>
      <c r="J57" s="4" t="s">
        <v>236</v>
      </c>
      <c r="K57" s="4" t="s">
        <v>279</v>
      </c>
      <c r="L57" s="4" t="s">
        <v>236</v>
      </c>
      <c r="M57" s="4"/>
      <c r="N57" s="4"/>
      <c r="O57" s="4"/>
      <c r="P57" s="4"/>
      <c r="Q57" s="4"/>
      <c r="R57" s="4"/>
      <c r="S57" s="4"/>
      <c r="T57" s="4"/>
      <c r="U57" s="4"/>
      <c r="V57" s="4"/>
      <c r="W57" s="4"/>
      <c r="X57" s="4"/>
    </row>
    <row r="58" spans="1:24" x14ac:dyDescent="0.2">
      <c r="A58" s="2"/>
      <c r="B58" s="3"/>
      <c r="C58" s="3"/>
      <c r="D58" s="3"/>
      <c r="E58" s="3"/>
      <c r="F58" s="3"/>
      <c r="G58" s="3"/>
      <c r="H58" s="3"/>
      <c r="I58" s="3"/>
      <c r="J58" s="3"/>
      <c r="K58" s="3"/>
      <c r="L58" s="3"/>
      <c r="M58" s="3"/>
      <c r="N58" s="3"/>
      <c r="O58" s="3"/>
      <c r="P58" s="3"/>
      <c r="Q58" s="3"/>
    </row>
    <row r="59" spans="1:24" x14ac:dyDescent="0.2">
      <c r="A59" s="2"/>
    </row>
  </sheetData>
  <pageMargins left="0.7" right="0.7" top="0.75" bottom="0.75" header="0.3" footer="0.3"/>
  <pageSetup orientation="portrait" r:id="rId1"/>
  <legacy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75009-41DB-4D5E-B2EB-3C2B83542067}">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580</v>
      </c>
    </row>
    <row r="3" spans="1:10" s="35" customFormat="1" x14ac:dyDescent="0.2">
      <c r="A3" s="36" t="s">
        <v>43</v>
      </c>
      <c r="B3" s="35" t="s">
        <v>583</v>
      </c>
    </row>
    <row r="4" spans="1:10" x14ac:dyDescent="0.2">
      <c r="A4" s="34" t="s">
        <v>41</v>
      </c>
      <c r="B4" s="1" t="s">
        <v>40</v>
      </c>
    </row>
    <row r="5" spans="1:10" x14ac:dyDescent="0.2">
      <c r="A5" s="34" t="s">
        <v>39</v>
      </c>
    </row>
    <row r="6" spans="1:10" x14ac:dyDescent="0.2">
      <c r="A6" s="34" t="s">
        <v>38</v>
      </c>
      <c r="B6" s="1">
        <v>2</v>
      </c>
    </row>
    <row r="7" spans="1:10" x14ac:dyDescent="0.2">
      <c r="A7" s="34" t="s">
        <v>37</v>
      </c>
      <c r="B7" s="1" t="s">
        <v>585</v>
      </c>
    </row>
    <row r="8" spans="1:10" x14ac:dyDescent="0.2">
      <c r="A8" s="34" t="s">
        <v>281</v>
      </c>
      <c r="B8" s="1" t="s">
        <v>584</v>
      </c>
    </row>
    <row r="9" spans="1:10" x14ac:dyDescent="0.2">
      <c r="A9" s="22"/>
    </row>
    <row r="10" spans="1:10" x14ac:dyDescent="0.2">
      <c r="A10" s="22" t="s">
        <v>36</v>
      </c>
      <c r="B10" s="33">
        <v>44286</v>
      </c>
      <c r="C10" s="33">
        <v>44196</v>
      </c>
      <c r="D10" s="33">
        <f>EOMONTH(C10,-3)</f>
        <v>44104</v>
      </c>
      <c r="E10" s="33">
        <f t="shared" ref="E10:J10" si="0">EOMONTH(D10,-3)</f>
        <v>44012</v>
      </c>
      <c r="F10" s="33">
        <f t="shared" si="0"/>
        <v>43921</v>
      </c>
      <c r="G10" s="33">
        <f t="shared" si="0"/>
        <v>43830</v>
      </c>
      <c r="H10" s="33">
        <f t="shared" si="0"/>
        <v>43738</v>
      </c>
      <c r="I10" s="33">
        <f t="shared" si="0"/>
        <v>43646</v>
      </c>
      <c r="J10" s="33">
        <f t="shared" si="0"/>
        <v>43555</v>
      </c>
    </row>
    <row r="12" spans="1:10" x14ac:dyDescent="0.2">
      <c r="A12" s="15" t="s">
        <v>35</v>
      </c>
      <c r="B12" s="19">
        <v>3537.1</v>
      </c>
      <c r="C12" s="19">
        <v>2860.6000000000004</v>
      </c>
      <c r="D12" s="19">
        <v>2839</v>
      </c>
      <c r="E12" s="19">
        <v>2379.6</v>
      </c>
      <c r="F12" s="19">
        <v>3184.7999999999997</v>
      </c>
      <c r="G12" s="19">
        <v>3459.8999999999992</v>
      </c>
      <c r="H12" s="19">
        <v>3657.6</v>
      </c>
      <c r="I12" s="19">
        <v>3800.4</v>
      </c>
      <c r="J12" s="19">
        <v>3116.4</v>
      </c>
    </row>
    <row r="13" spans="1:10" s="28" customFormat="1" x14ac:dyDescent="0.2">
      <c r="A13" s="28" t="s">
        <v>34</v>
      </c>
      <c r="B13" s="28">
        <f>+B12/F12-1</f>
        <v>0.11061919115800056</v>
      </c>
      <c r="C13" s="28">
        <f>+C12/G12-1</f>
        <v>-0.17321309864446921</v>
      </c>
      <c r="D13" s="28">
        <f t="shared" ref="D13:F13" si="1">+D12/H12-1</f>
        <v>-0.22380796150481186</v>
      </c>
      <c r="E13" s="28">
        <f t="shared" si="1"/>
        <v>-0.37385538364382698</v>
      </c>
      <c r="F13" s="28">
        <f t="shared" si="1"/>
        <v>2.1948402002310186E-2</v>
      </c>
    </row>
    <row r="14" spans="1:10" s="23" customFormat="1" x14ac:dyDescent="0.2">
      <c r="A14" s="31" t="s">
        <v>33</v>
      </c>
      <c r="B14" s="32" t="s">
        <v>32</v>
      </c>
      <c r="C14" s="32" t="s">
        <v>32</v>
      </c>
      <c r="D14" s="32" t="s">
        <v>32</v>
      </c>
      <c r="E14" s="32" t="s">
        <v>32</v>
      </c>
      <c r="F14" s="32" t="s">
        <v>32</v>
      </c>
      <c r="G14" s="31"/>
      <c r="H14" s="31"/>
      <c r="I14" s="31"/>
      <c r="J14" s="31"/>
    </row>
    <row r="16" spans="1:10" s="22" customFormat="1" x14ac:dyDescent="0.2">
      <c r="A16" s="30" t="s">
        <v>31</v>
      </c>
      <c r="B16" s="29">
        <v>154.80000000000001</v>
      </c>
      <c r="C16" s="29">
        <v>136.30000000000001</v>
      </c>
      <c r="D16" s="29">
        <v>141.5</v>
      </c>
      <c r="E16" s="29">
        <v>274.2</v>
      </c>
      <c r="F16" s="29">
        <v>170.7</v>
      </c>
      <c r="G16" s="29">
        <v>112.79999999999981</v>
      </c>
      <c r="H16" s="29">
        <v>158.69999999999999</v>
      </c>
      <c r="I16" s="29">
        <v>92.7</v>
      </c>
      <c r="J16" s="29">
        <v>58.8</v>
      </c>
    </row>
    <row r="17" spans="1:10" s="28" customFormat="1" x14ac:dyDescent="0.2">
      <c r="A17" s="28" t="s">
        <v>30</v>
      </c>
      <c r="B17" s="28">
        <f>+B16/B12</f>
        <v>4.3764665969296887E-2</v>
      </c>
      <c r="C17" s="28">
        <f>+C16/C12</f>
        <v>4.7647346710480314E-2</v>
      </c>
      <c r="D17" s="28">
        <f t="shared" ref="D17:J17" si="2">+D16/D12</f>
        <v>4.9841493483620991E-2</v>
      </c>
      <c r="E17" s="28">
        <f t="shared" si="2"/>
        <v>0.11522945032778618</v>
      </c>
      <c r="F17" s="28">
        <f t="shared" si="2"/>
        <v>5.3598342125094199E-2</v>
      </c>
      <c r="G17" s="28">
        <f t="shared" si="2"/>
        <v>3.2602098326541186E-2</v>
      </c>
      <c r="H17" s="28">
        <f t="shared" si="2"/>
        <v>4.3389107611548551E-2</v>
      </c>
      <c r="I17" s="28">
        <f t="shared" si="2"/>
        <v>2.4392169245342595E-2</v>
      </c>
      <c r="J17" s="28">
        <f t="shared" si="2"/>
        <v>1.8867924528301886E-2</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154.80000000000001</v>
      </c>
      <c r="C22" s="20">
        <f>SUM(C16,C19:C21)</f>
        <v>136.30000000000001</v>
      </c>
      <c r="D22" s="20">
        <f t="shared" ref="D22:J22" si="3">SUM(D16,D19:D21)</f>
        <v>141.5</v>
      </c>
      <c r="E22" s="20">
        <f t="shared" si="3"/>
        <v>274.2</v>
      </c>
      <c r="F22" s="20">
        <f t="shared" si="3"/>
        <v>170.7</v>
      </c>
      <c r="G22" s="20">
        <f t="shared" si="3"/>
        <v>112.79999999999981</v>
      </c>
      <c r="H22" s="20">
        <f t="shared" si="3"/>
        <v>158.69999999999999</v>
      </c>
      <c r="I22" s="20">
        <f t="shared" si="3"/>
        <v>92.7</v>
      </c>
      <c r="J22" s="20">
        <f t="shared" si="3"/>
        <v>58.8</v>
      </c>
    </row>
    <row r="23" spans="1:10" s="22" customFormat="1" x14ac:dyDescent="0.2">
      <c r="B23" s="20"/>
      <c r="C23" s="20"/>
      <c r="D23" s="20"/>
      <c r="E23" s="20"/>
      <c r="F23" s="20"/>
      <c r="G23" s="20"/>
      <c r="H23" s="20"/>
      <c r="I23" s="20"/>
      <c r="J23" s="20"/>
    </row>
    <row r="24" spans="1:10" s="22" customFormat="1" x14ac:dyDescent="0.2">
      <c r="A24" s="22" t="s">
        <v>27</v>
      </c>
      <c r="B24" s="20">
        <f>SUM(B22:E22)</f>
        <v>706.8</v>
      </c>
      <c r="C24" s="20">
        <f>SUM(C22:F22)</f>
        <v>722.7</v>
      </c>
      <c r="D24" s="20"/>
      <c r="E24" s="20"/>
      <c r="F24" s="20"/>
      <c r="G24" s="20"/>
      <c r="H24" s="20"/>
      <c r="I24" s="20"/>
      <c r="J24" s="20"/>
    </row>
    <row r="25" spans="1:10" s="23" customFormat="1" x14ac:dyDescent="0.2">
      <c r="A25" s="15" t="s">
        <v>26</v>
      </c>
      <c r="B25" s="27">
        <v>0</v>
      </c>
      <c r="C25" s="27">
        <v>0</v>
      </c>
      <c r="D25" s="27"/>
      <c r="E25" s="27"/>
      <c r="F25" s="27"/>
      <c r="G25" s="27"/>
      <c r="H25" s="27"/>
      <c r="I25" s="27"/>
      <c r="J25" s="27"/>
    </row>
    <row r="26" spans="1:10" s="23" customFormat="1" x14ac:dyDescent="0.2">
      <c r="A26" s="15" t="s">
        <v>25</v>
      </c>
      <c r="B26" s="21">
        <v>0</v>
      </c>
      <c r="C26" s="21">
        <v>0</v>
      </c>
      <c r="D26" s="21"/>
      <c r="E26" s="21"/>
      <c r="F26" s="21"/>
      <c r="G26" s="21"/>
      <c r="H26" s="26"/>
      <c r="I26" s="26"/>
      <c r="J26" s="26"/>
    </row>
    <row r="27" spans="1:10" s="24" customFormat="1" x14ac:dyDescent="0.2">
      <c r="A27" s="22" t="s">
        <v>24</v>
      </c>
      <c r="B27" s="20">
        <f>SUM(B24:B26)</f>
        <v>706.8</v>
      </c>
      <c r="C27" s="20">
        <f>SUM(C24:C26)</f>
        <v>722.7</v>
      </c>
      <c r="D27" s="20"/>
      <c r="E27" s="20"/>
      <c r="F27" s="20"/>
      <c r="G27" s="20"/>
      <c r="H27" s="25"/>
      <c r="I27" s="25"/>
      <c r="J27" s="25"/>
    </row>
    <row r="28" spans="1:10" s="23" customFormat="1" x14ac:dyDescent="0.2"/>
    <row r="29" spans="1:10" s="22" customFormat="1" x14ac:dyDescent="0.2">
      <c r="A29" s="22" t="s">
        <v>23</v>
      </c>
      <c r="B29" s="20">
        <f t="shared" ref="B29" si="4">B22</f>
        <v>154.80000000000001</v>
      </c>
      <c r="C29" s="20">
        <f t="shared" ref="C29:J29" si="5">C22</f>
        <v>136.30000000000001</v>
      </c>
      <c r="D29" s="20">
        <f t="shared" si="5"/>
        <v>141.5</v>
      </c>
      <c r="E29" s="20">
        <f t="shared" si="5"/>
        <v>274.2</v>
      </c>
      <c r="F29" s="20">
        <f t="shared" si="5"/>
        <v>170.7</v>
      </c>
      <c r="G29" s="20">
        <f t="shared" si="5"/>
        <v>112.79999999999981</v>
      </c>
      <c r="H29" s="20">
        <f t="shared" si="5"/>
        <v>158.69999999999999</v>
      </c>
      <c r="I29" s="20">
        <f t="shared" si="5"/>
        <v>92.7</v>
      </c>
      <c r="J29" s="20">
        <f t="shared" si="5"/>
        <v>58.8</v>
      </c>
    </row>
    <row r="30" spans="1:10" s="11" customFormat="1" x14ac:dyDescent="0.2">
      <c r="A30" s="19" t="s">
        <v>22</v>
      </c>
      <c r="B30" s="19">
        <v>-21.3</v>
      </c>
      <c r="C30" s="19">
        <v>-13.999999999999993</v>
      </c>
      <c r="D30" s="19">
        <v>-12.4</v>
      </c>
      <c r="E30" s="19">
        <v>-12.8</v>
      </c>
      <c r="F30" s="19">
        <v>-12.5</v>
      </c>
      <c r="G30" s="19">
        <v>-11.999999999999993</v>
      </c>
      <c r="H30" s="19">
        <v>-14.5</v>
      </c>
      <c r="I30" s="19">
        <v>-12.299999999999999</v>
      </c>
      <c r="J30" s="19">
        <v>-12.9</v>
      </c>
    </row>
    <row r="31" spans="1:10" s="11" customFormat="1" x14ac:dyDescent="0.2">
      <c r="A31" s="19" t="s">
        <v>21</v>
      </c>
      <c r="B31" s="19">
        <v>-18</v>
      </c>
      <c r="C31" s="19">
        <v>-29.600000000000009</v>
      </c>
      <c r="D31" s="19">
        <v>-21.2</v>
      </c>
      <c r="E31" s="19">
        <v>-54.1</v>
      </c>
      <c r="F31" s="19">
        <v>-28</v>
      </c>
      <c r="G31" s="19">
        <v>-14.300000000000004</v>
      </c>
      <c r="H31" s="19">
        <v>-22.1</v>
      </c>
      <c r="I31" s="19">
        <v>-10.6</v>
      </c>
      <c r="J31" s="19">
        <v>-0.6</v>
      </c>
    </row>
    <row r="32" spans="1:10" s="11" customFormat="1" x14ac:dyDescent="0.2">
      <c r="A32" s="19" t="s">
        <v>20</v>
      </c>
      <c r="B32" s="19">
        <v>108</v>
      </c>
      <c r="C32" s="19">
        <v>-10.9</v>
      </c>
      <c r="D32" s="19">
        <v>-25.4</v>
      </c>
      <c r="E32" s="19">
        <v>48.9</v>
      </c>
      <c r="F32" s="19">
        <v>-25.7</v>
      </c>
      <c r="G32" s="19">
        <v>-45</v>
      </c>
      <c r="H32" s="19">
        <v>-3.2</v>
      </c>
      <c r="I32" s="19">
        <v>-2.2000000000000002</v>
      </c>
      <c r="J32" s="19">
        <v>1.7</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229.8</v>
      </c>
      <c r="C35" s="20">
        <v>95.900000000000034</v>
      </c>
      <c r="D35" s="20">
        <v>85.900000000000034</v>
      </c>
      <c r="E35" s="20">
        <v>268.2</v>
      </c>
      <c r="F35" s="20">
        <v>113.7</v>
      </c>
      <c r="G35" s="20">
        <v>61.700000000000017</v>
      </c>
      <c r="H35" s="20">
        <v>126.69999999999999</v>
      </c>
      <c r="I35" s="20">
        <v>76.800000000000011</v>
      </c>
      <c r="J35" s="20">
        <v>48.1</v>
      </c>
    </row>
    <row r="36" spans="1:10" s="11" customFormat="1" x14ac:dyDescent="0.2">
      <c r="A36" s="19" t="s">
        <v>16</v>
      </c>
      <c r="B36" s="21">
        <v>-53.6</v>
      </c>
      <c r="C36" s="21">
        <v>-61.299999999999983</v>
      </c>
      <c r="D36" s="21">
        <v>-63.7</v>
      </c>
      <c r="E36" s="21">
        <v>-59.1</v>
      </c>
      <c r="F36" s="21">
        <v>-46.6</v>
      </c>
      <c r="G36" s="21">
        <v>-51.100000000000023</v>
      </c>
      <c r="H36" s="21">
        <v>-67.099999999999994</v>
      </c>
      <c r="I36" s="21">
        <v>-56.099999999999994</v>
      </c>
      <c r="J36" s="21">
        <v>-30.5</v>
      </c>
    </row>
    <row r="37" spans="1:10" s="20" customFormat="1" x14ac:dyDescent="0.2">
      <c r="A37" s="20" t="s">
        <v>15</v>
      </c>
      <c r="B37" s="20">
        <f>+B35+B36</f>
        <v>176.20000000000002</v>
      </c>
      <c r="C37" s="20">
        <f>+C35+C36</f>
        <v>34.600000000000051</v>
      </c>
      <c r="D37" s="20">
        <f t="shared" ref="D37:J37" si="6">+D35+D36</f>
        <v>22.200000000000031</v>
      </c>
      <c r="E37" s="20">
        <f t="shared" si="6"/>
        <v>209.1</v>
      </c>
      <c r="F37" s="20">
        <f t="shared" si="6"/>
        <v>67.099999999999994</v>
      </c>
      <c r="G37" s="20">
        <f t="shared" si="6"/>
        <v>10.599999999999994</v>
      </c>
      <c r="H37" s="20">
        <f t="shared" si="6"/>
        <v>59.599999999999994</v>
      </c>
      <c r="I37" s="20">
        <f t="shared" si="6"/>
        <v>20.700000000000017</v>
      </c>
      <c r="J37" s="20">
        <f t="shared" si="6"/>
        <v>17.600000000000001</v>
      </c>
    </row>
    <row r="39" spans="1:10" s="16" customFormat="1" x14ac:dyDescent="0.2">
      <c r="A39" s="18" t="s">
        <v>14</v>
      </c>
      <c r="B39" s="19">
        <v>0</v>
      </c>
      <c r="C39" s="19">
        <v>0</v>
      </c>
      <c r="D39" s="19"/>
      <c r="E39" s="19"/>
      <c r="F39" s="19"/>
      <c r="G39" s="19"/>
      <c r="H39" s="19"/>
      <c r="I39" s="19"/>
      <c r="J39" s="19"/>
    </row>
    <row r="40" spans="1:10" s="16" customFormat="1" x14ac:dyDescent="0.2">
      <c r="A40" s="18" t="s">
        <v>13</v>
      </c>
      <c r="B40" s="19">
        <v>400</v>
      </c>
      <c r="C40" s="19">
        <v>400</v>
      </c>
      <c r="D40" s="19"/>
      <c r="E40" s="19"/>
      <c r="F40" s="19"/>
      <c r="G40" s="19"/>
      <c r="H40" s="19"/>
      <c r="I40" s="19"/>
      <c r="J40" s="19"/>
    </row>
    <row r="41" spans="1:10" s="16" customFormat="1" x14ac:dyDescent="0.2">
      <c r="A41" s="18" t="s">
        <v>12</v>
      </c>
      <c r="B41" s="19">
        <f>B39+B40+1300</f>
        <v>1700</v>
      </c>
      <c r="C41" s="19">
        <f>C39+C40+1300</f>
        <v>1700</v>
      </c>
      <c r="D41" s="19"/>
      <c r="E41" s="19"/>
      <c r="F41" s="19"/>
      <c r="G41" s="19"/>
      <c r="H41" s="19"/>
      <c r="I41" s="19"/>
      <c r="J41" s="19"/>
    </row>
    <row r="42" spans="1:10" s="16" customFormat="1" x14ac:dyDescent="0.2">
      <c r="A42" s="18" t="s">
        <v>11</v>
      </c>
      <c r="B42" s="17">
        <v>3543</v>
      </c>
      <c r="C42" s="17">
        <v>3543</v>
      </c>
      <c r="D42" s="17"/>
      <c r="E42" s="17"/>
      <c r="F42" s="17"/>
      <c r="G42" s="17"/>
      <c r="H42" s="17"/>
      <c r="I42" s="17"/>
      <c r="J42" s="17"/>
    </row>
    <row r="43" spans="1:10" x14ac:dyDescent="0.2">
      <c r="B43" s="16"/>
      <c r="C43" s="16"/>
      <c r="D43" s="16"/>
      <c r="E43" s="16"/>
    </row>
    <row r="44" spans="1:10" x14ac:dyDescent="0.2">
      <c r="A44" s="15" t="s">
        <v>10</v>
      </c>
      <c r="B44" s="27">
        <v>304.10000000000002</v>
      </c>
      <c r="C44" s="27">
        <v>322</v>
      </c>
      <c r="D44" s="27"/>
      <c r="E44" s="27"/>
      <c r="F44" s="27"/>
      <c r="G44" s="27"/>
      <c r="H44" s="27"/>
      <c r="I44" s="14"/>
      <c r="J44" s="14"/>
    </row>
    <row r="46" spans="1:10" x14ac:dyDescent="0.2">
      <c r="A46" s="1" t="s">
        <v>9</v>
      </c>
      <c r="B46" s="13">
        <f>C46+B12-F12</f>
        <v>13504.852747252746</v>
      </c>
      <c r="C46" s="12">
        <v>13152.552747252746</v>
      </c>
      <c r="D46" s="11"/>
      <c r="E46" s="11"/>
      <c r="F46" s="11"/>
      <c r="G46" s="11"/>
    </row>
    <row r="47" spans="1:10" x14ac:dyDescent="0.2">
      <c r="A47" s="1" t="s">
        <v>8</v>
      </c>
      <c r="B47" s="13">
        <f>C47+B22-F22</f>
        <v>758.09999999999991</v>
      </c>
      <c r="C47" s="12">
        <f>774</f>
        <v>774</v>
      </c>
      <c r="D47" s="11"/>
      <c r="E47" s="11"/>
      <c r="F47" s="11"/>
      <c r="G47" s="11"/>
    </row>
    <row r="48" spans="1:10" x14ac:dyDescent="0.2">
      <c r="A48" s="1" t="s">
        <v>7</v>
      </c>
      <c r="B48" s="13">
        <f>C48+B37-F37</f>
        <v>198.29999999999998</v>
      </c>
      <c r="C48" s="12">
        <v>89.199999999999989</v>
      </c>
      <c r="D48" s="11"/>
      <c r="E48" s="11"/>
      <c r="F48" s="11"/>
      <c r="G48" s="11"/>
    </row>
    <row r="50" spans="1:10" s="10" customFormat="1" x14ac:dyDescent="0.2">
      <c r="A50" s="10" t="s">
        <v>6</v>
      </c>
      <c r="B50" s="10">
        <f>+SUM(B39:B40)/B47</f>
        <v>0.5276348766653477</v>
      </c>
      <c r="C50" s="10">
        <f>+SUM(C39:C40)/C47</f>
        <v>0.51679586563307489</v>
      </c>
    </row>
    <row r="51" spans="1:10" s="10" customFormat="1" x14ac:dyDescent="0.2">
      <c r="A51" s="10" t="s">
        <v>5</v>
      </c>
      <c r="B51" s="10">
        <f>+B41/B47</f>
        <v>2.2424482258277276</v>
      </c>
      <c r="C51" s="10">
        <f>+C41/C47</f>
        <v>2.1963824289405687</v>
      </c>
    </row>
    <row r="52" spans="1:10" s="10" customFormat="1" x14ac:dyDescent="0.2">
      <c r="A52" s="10" t="s">
        <v>4</v>
      </c>
      <c r="B52" s="10">
        <f>+(B41-B44)/B47</f>
        <v>1.841313810842897</v>
      </c>
      <c r="C52" s="10">
        <f>+(C41-C44)/C47</f>
        <v>1.7803617571059431</v>
      </c>
    </row>
    <row r="53" spans="1:10" s="6" customFormat="1" x14ac:dyDescent="0.2">
      <c r="A53" s="6" t="s">
        <v>3</v>
      </c>
      <c r="B53" s="6">
        <f>+B48/B41</f>
        <v>0.1166470588235294</v>
      </c>
      <c r="C53" s="6">
        <f>+C48/C41</f>
        <v>5.2470588235294109E-2</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6.5148397309062132</v>
      </c>
      <c r="C55" s="7">
        <f>IF(C42=0,IF(C54="","","*"&amp;TEXT(C54,"0.0x")),(C41+C42-C44)/C47)</f>
        <v>6.3578811369509047</v>
      </c>
      <c r="D55" s="7"/>
      <c r="E55" s="7"/>
      <c r="F55" s="7"/>
      <c r="G55" s="7"/>
      <c r="H55" s="7"/>
      <c r="I55" s="7"/>
      <c r="J55" s="7" t="str">
        <f t="shared" ref="J55" si="7">IF(J42=0,IF(J54="","",CONCATENATE("* ",J54,"x")),(J41+J42-J44)/J47)</f>
        <v/>
      </c>
    </row>
    <row r="56" spans="1:10" x14ac:dyDescent="0.2">
      <c r="G56" s="3"/>
    </row>
    <row r="57" spans="1:10" ht="80.25" customHeight="1" x14ac:dyDescent="0.2">
      <c r="A57" s="5" t="s">
        <v>0</v>
      </c>
      <c r="B57" s="4" t="s">
        <v>104</v>
      </c>
      <c r="C57" s="4" t="s">
        <v>104</v>
      </c>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ignoredErrors>
    <ignoredError sqref="C13:J15 C17:J23 C28:J29 C33:J34" evalError="1"/>
  </ignoredError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52533-1911-42BD-B2CE-C5CD2D8D3B95}">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586</v>
      </c>
    </row>
    <row r="3" spans="1:10" s="35" customFormat="1" x14ac:dyDescent="0.2">
      <c r="A3" s="36" t="s">
        <v>43</v>
      </c>
      <c r="B3" s="35" t="s">
        <v>587</v>
      </c>
    </row>
    <row r="4" spans="1:10" x14ac:dyDescent="0.2">
      <c r="A4" s="34" t="s">
        <v>41</v>
      </c>
      <c r="B4" s="1" t="s">
        <v>40</v>
      </c>
    </row>
    <row r="5" spans="1:10" x14ac:dyDescent="0.2">
      <c r="A5" s="34" t="s">
        <v>39</v>
      </c>
    </row>
    <row r="6" spans="1:10" x14ac:dyDescent="0.2">
      <c r="A6" s="34" t="s">
        <v>38</v>
      </c>
      <c r="B6" s="1">
        <v>4</v>
      </c>
    </row>
    <row r="7" spans="1:10" x14ac:dyDescent="0.2">
      <c r="A7" s="34" t="s">
        <v>37</v>
      </c>
      <c r="B7" s="1" t="s">
        <v>529</v>
      </c>
    </row>
    <row r="8" spans="1:10" x14ac:dyDescent="0.2">
      <c r="A8" s="34" t="s">
        <v>281</v>
      </c>
      <c r="B8" s="1" t="s">
        <v>357</v>
      </c>
    </row>
    <row r="9" spans="1:10" x14ac:dyDescent="0.2">
      <c r="A9" s="22"/>
    </row>
    <row r="10" spans="1:10" x14ac:dyDescent="0.2">
      <c r="A10" s="22" t="s">
        <v>36</v>
      </c>
      <c r="B10" s="33">
        <v>44227</v>
      </c>
      <c r="C10" s="33">
        <v>44135</v>
      </c>
      <c r="D10" s="33">
        <f>EOMONTH(C10,-3)</f>
        <v>44043</v>
      </c>
      <c r="E10" s="33">
        <f t="shared" ref="E10:J10" si="0">EOMONTH(D10,-3)</f>
        <v>43951</v>
      </c>
      <c r="F10" s="33">
        <f t="shared" si="0"/>
        <v>43861</v>
      </c>
      <c r="G10" s="33">
        <f t="shared" si="0"/>
        <v>43769</v>
      </c>
      <c r="H10" s="33">
        <f t="shared" si="0"/>
        <v>43677</v>
      </c>
      <c r="I10" s="33">
        <f t="shared" si="0"/>
        <v>43585</v>
      </c>
      <c r="J10" s="33">
        <f t="shared" si="0"/>
        <v>43496</v>
      </c>
    </row>
    <row r="12" spans="1:10" x14ac:dyDescent="0.2">
      <c r="A12" s="15" t="s">
        <v>35</v>
      </c>
      <c r="B12" s="19">
        <v>0</v>
      </c>
      <c r="C12" s="19">
        <v>0</v>
      </c>
      <c r="D12" s="19">
        <v>0</v>
      </c>
      <c r="E12" s="19">
        <v>0</v>
      </c>
      <c r="F12" s="19">
        <v>0</v>
      </c>
      <c r="G12" s="19">
        <v>0</v>
      </c>
      <c r="H12" s="19">
        <v>0</v>
      </c>
      <c r="I12" s="19">
        <v>0</v>
      </c>
      <c r="J12" s="19">
        <v>0</v>
      </c>
    </row>
    <row r="13" spans="1:10" s="28" customFormat="1" x14ac:dyDescent="0.2">
      <c r="A13" s="28" t="s">
        <v>34</v>
      </c>
      <c r="B13" s="28" t="e">
        <f>+B12/F12-1</f>
        <v>#DIV/0!</v>
      </c>
      <c r="C13" s="28" t="e">
        <f>+C12/G12-1</f>
        <v>#DIV/0!</v>
      </c>
      <c r="D13" s="28" t="e">
        <f t="shared" ref="D13:F13" si="1">+D12/H12-1</f>
        <v>#DIV/0!</v>
      </c>
      <c r="E13" s="28" t="e">
        <f t="shared" si="1"/>
        <v>#DIV/0!</v>
      </c>
      <c r="F13" s="28" t="e">
        <f t="shared" si="1"/>
        <v>#DIV/0!</v>
      </c>
    </row>
    <row r="14" spans="1:10" s="23" customFormat="1" x14ac:dyDescent="0.2">
      <c r="A14" s="31" t="s">
        <v>33</v>
      </c>
      <c r="B14" s="32" t="s">
        <v>32</v>
      </c>
      <c r="C14" s="32" t="s">
        <v>32</v>
      </c>
      <c r="D14" s="32" t="s">
        <v>32</v>
      </c>
      <c r="E14" s="32" t="s">
        <v>32</v>
      </c>
      <c r="F14" s="32" t="s">
        <v>32</v>
      </c>
      <c r="G14" s="31"/>
      <c r="H14" s="31"/>
      <c r="I14" s="31"/>
      <c r="J14" s="31"/>
    </row>
    <row r="16" spans="1:10" s="22" customFormat="1" x14ac:dyDescent="0.2">
      <c r="A16" s="30" t="s">
        <v>31</v>
      </c>
      <c r="B16" s="29">
        <v>0</v>
      </c>
      <c r="C16" s="29">
        <v>0</v>
      </c>
      <c r="D16" s="29">
        <v>0</v>
      </c>
      <c r="E16" s="29">
        <v>0</v>
      </c>
      <c r="F16" s="29">
        <v>0</v>
      </c>
      <c r="G16" s="29">
        <v>0</v>
      </c>
      <c r="H16" s="29">
        <v>0</v>
      </c>
      <c r="I16" s="29">
        <v>0</v>
      </c>
      <c r="J16" s="29">
        <v>0</v>
      </c>
    </row>
    <row r="17" spans="1:10" s="28" customFormat="1" x14ac:dyDescent="0.2">
      <c r="A17" s="28" t="s">
        <v>30</v>
      </c>
      <c r="B17" s="28" t="e">
        <f>+B16/B12</f>
        <v>#DIV/0!</v>
      </c>
      <c r="C17" s="28" t="e">
        <f>+C16/C12</f>
        <v>#DIV/0!</v>
      </c>
      <c r="D17" s="28" t="e">
        <f t="shared" ref="D17:J17" si="2">+D16/D12</f>
        <v>#DIV/0!</v>
      </c>
      <c r="E17" s="28" t="e">
        <f t="shared" si="2"/>
        <v>#DIV/0!</v>
      </c>
      <c r="F17" s="28" t="e">
        <f t="shared" si="2"/>
        <v>#DIV/0!</v>
      </c>
      <c r="G17" s="28" t="e">
        <f t="shared" si="2"/>
        <v>#DIV/0!</v>
      </c>
      <c r="H17" s="28" t="e">
        <f t="shared" si="2"/>
        <v>#DIV/0!</v>
      </c>
      <c r="I17" s="28" t="e">
        <f t="shared" si="2"/>
        <v>#DIV/0!</v>
      </c>
      <c r="J17" s="28" t="e">
        <f t="shared" si="2"/>
        <v>#DIV/0!</v>
      </c>
    </row>
    <row r="18" spans="1:10" s="23" customFormat="1" x14ac:dyDescent="0.2"/>
    <row r="19" spans="1:10" s="23" customFormat="1" x14ac:dyDescent="0.2">
      <c r="A19" s="15" t="s">
        <v>29</v>
      </c>
      <c r="B19" s="19">
        <v>0</v>
      </c>
      <c r="C19" s="19">
        <v>0</v>
      </c>
      <c r="D19" s="19">
        <v>0</v>
      </c>
      <c r="E19" s="19">
        <v>0</v>
      </c>
      <c r="F19" s="19">
        <v>0</v>
      </c>
      <c r="G19" s="19">
        <v>0</v>
      </c>
      <c r="H19" s="19">
        <v>0</v>
      </c>
      <c r="I19" s="19">
        <v>0</v>
      </c>
      <c r="J19" s="19">
        <v>0</v>
      </c>
    </row>
    <row r="20" spans="1:10" s="23" customFormat="1" x14ac:dyDescent="0.2">
      <c r="A20" s="15" t="s">
        <v>28</v>
      </c>
      <c r="B20" s="19">
        <v>0</v>
      </c>
      <c r="C20" s="19">
        <v>0</v>
      </c>
      <c r="D20" s="19">
        <v>0</v>
      </c>
      <c r="E20" s="19">
        <v>0</v>
      </c>
      <c r="F20" s="19">
        <v>0</v>
      </c>
      <c r="G20" s="19">
        <v>0</v>
      </c>
      <c r="H20" s="19">
        <v>0</v>
      </c>
      <c r="I20" s="19">
        <v>0</v>
      </c>
      <c r="J20" s="19">
        <v>0</v>
      </c>
    </row>
    <row r="21" spans="1:10" s="23" customFormat="1" x14ac:dyDescent="0.2">
      <c r="A21" s="15" t="s">
        <v>18</v>
      </c>
      <c r="B21" s="19">
        <v>0</v>
      </c>
      <c r="C21" s="19">
        <v>0</v>
      </c>
      <c r="D21" s="19">
        <v>0</v>
      </c>
      <c r="E21" s="19">
        <v>0</v>
      </c>
      <c r="F21" s="19">
        <v>0</v>
      </c>
      <c r="G21" s="19">
        <v>0</v>
      </c>
      <c r="H21" s="19">
        <v>0</v>
      </c>
      <c r="I21" s="19">
        <v>0</v>
      </c>
      <c r="J21" s="19">
        <v>0</v>
      </c>
    </row>
    <row r="22" spans="1:10" s="22" customFormat="1" x14ac:dyDescent="0.2">
      <c r="A22" s="22" t="s">
        <v>23</v>
      </c>
      <c r="B22" s="20">
        <f>SUM(B16,B19:B21)</f>
        <v>0</v>
      </c>
      <c r="C22" s="20">
        <f>SUM(C16,C19:C21)</f>
        <v>0</v>
      </c>
      <c r="D22" s="20">
        <f t="shared" ref="D22:J22" si="3">SUM(D16,D19:D21)</f>
        <v>0</v>
      </c>
      <c r="E22" s="20">
        <f t="shared" si="3"/>
        <v>0</v>
      </c>
      <c r="F22" s="20">
        <f t="shared" si="3"/>
        <v>0</v>
      </c>
      <c r="G22" s="20">
        <f t="shared" si="3"/>
        <v>0</v>
      </c>
      <c r="H22" s="20">
        <f t="shared" si="3"/>
        <v>0</v>
      </c>
      <c r="I22" s="20">
        <f t="shared" si="3"/>
        <v>0</v>
      </c>
      <c r="J22" s="20">
        <f t="shared" si="3"/>
        <v>0</v>
      </c>
    </row>
    <row r="23" spans="1:10" s="22" customFormat="1" x14ac:dyDescent="0.2">
      <c r="B23" s="20"/>
      <c r="C23" s="20"/>
      <c r="D23" s="20"/>
      <c r="E23" s="20"/>
      <c r="F23" s="20"/>
      <c r="G23" s="20"/>
      <c r="H23" s="20"/>
      <c r="I23" s="20"/>
      <c r="J23" s="20"/>
    </row>
    <row r="24" spans="1:10" s="22" customFormat="1" x14ac:dyDescent="0.2">
      <c r="A24" s="22" t="s">
        <v>27</v>
      </c>
      <c r="B24" s="20">
        <f>SUM(B22:E22)</f>
        <v>0</v>
      </c>
      <c r="C24" s="20">
        <f>SUM(C22:F22)</f>
        <v>0</v>
      </c>
      <c r="D24" s="20">
        <f t="shared" ref="D24:G24" si="4">SUM(D22:G22)</f>
        <v>0</v>
      </c>
      <c r="E24" s="20">
        <f t="shared" si="4"/>
        <v>0</v>
      </c>
      <c r="F24" s="20">
        <f t="shared" si="4"/>
        <v>0</v>
      </c>
      <c r="G24" s="20">
        <f t="shared" si="4"/>
        <v>0</v>
      </c>
      <c r="H24" s="20"/>
      <c r="I24" s="20"/>
      <c r="J24" s="20"/>
    </row>
    <row r="25" spans="1:10" s="23" customFormat="1" x14ac:dyDescent="0.2">
      <c r="A25" s="15" t="s">
        <v>26</v>
      </c>
      <c r="B25" s="27">
        <v>0</v>
      </c>
      <c r="C25" s="27">
        <v>0</v>
      </c>
      <c r="D25" s="27">
        <v>0</v>
      </c>
      <c r="E25" s="27">
        <v>0</v>
      </c>
      <c r="F25" s="27">
        <v>0</v>
      </c>
      <c r="G25" s="27">
        <v>0</v>
      </c>
      <c r="H25" s="27">
        <v>0</v>
      </c>
      <c r="I25" s="27">
        <v>0</v>
      </c>
      <c r="J25" s="27">
        <v>0</v>
      </c>
    </row>
    <row r="26" spans="1:10" s="23" customFormat="1" x14ac:dyDescent="0.2">
      <c r="A26" s="15" t="s">
        <v>25</v>
      </c>
      <c r="B26" s="21">
        <v>0</v>
      </c>
      <c r="C26" s="21">
        <v>0</v>
      </c>
      <c r="D26" s="21">
        <v>0</v>
      </c>
      <c r="E26" s="21">
        <v>0</v>
      </c>
      <c r="F26" s="21">
        <v>0</v>
      </c>
      <c r="G26" s="21">
        <v>0</v>
      </c>
      <c r="H26" s="26"/>
      <c r="I26" s="26"/>
      <c r="J26" s="26"/>
    </row>
    <row r="27" spans="1:10" s="24" customFormat="1" x14ac:dyDescent="0.2">
      <c r="A27" s="22" t="s">
        <v>24</v>
      </c>
      <c r="B27" s="20">
        <f>SUM(B24:B26)</f>
        <v>0</v>
      </c>
      <c r="C27" s="20">
        <f>SUM(C24:C26)</f>
        <v>0</v>
      </c>
      <c r="D27" s="20">
        <f t="shared" ref="D27:G27" si="5">SUM(D24:D26)</f>
        <v>0</v>
      </c>
      <c r="E27" s="20">
        <f t="shared" si="5"/>
        <v>0</v>
      </c>
      <c r="F27" s="20">
        <f t="shared" si="5"/>
        <v>0</v>
      </c>
      <c r="G27" s="20">
        <f t="shared" si="5"/>
        <v>0</v>
      </c>
      <c r="H27" s="25"/>
      <c r="I27" s="25"/>
      <c r="J27" s="25"/>
    </row>
    <row r="28" spans="1:10" s="23" customFormat="1" x14ac:dyDescent="0.2"/>
    <row r="29" spans="1:10" s="22" customFormat="1" x14ac:dyDescent="0.2">
      <c r="A29" s="22" t="s">
        <v>23</v>
      </c>
      <c r="B29" s="20">
        <f t="shared" ref="B29" si="6">B22</f>
        <v>0</v>
      </c>
      <c r="C29" s="20">
        <f t="shared" ref="C29:J29" si="7">C22</f>
        <v>0</v>
      </c>
      <c r="D29" s="20">
        <f t="shared" si="7"/>
        <v>0</v>
      </c>
      <c r="E29" s="20">
        <f t="shared" si="7"/>
        <v>0</v>
      </c>
      <c r="F29" s="20">
        <f t="shared" si="7"/>
        <v>0</v>
      </c>
      <c r="G29" s="20">
        <f t="shared" si="7"/>
        <v>0</v>
      </c>
      <c r="H29" s="20">
        <f t="shared" si="7"/>
        <v>0</v>
      </c>
      <c r="I29" s="20">
        <f t="shared" si="7"/>
        <v>0</v>
      </c>
      <c r="J29" s="20">
        <f t="shared" si="7"/>
        <v>0</v>
      </c>
    </row>
    <row r="30" spans="1:10" s="11" customFormat="1" x14ac:dyDescent="0.2">
      <c r="A30" s="19" t="s">
        <v>22</v>
      </c>
      <c r="B30" s="19">
        <v>0</v>
      </c>
      <c r="C30" s="19">
        <v>0</v>
      </c>
      <c r="D30" s="19">
        <v>0</v>
      </c>
      <c r="E30" s="19">
        <v>0</v>
      </c>
      <c r="F30" s="19">
        <v>0</v>
      </c>
      <c r="G30" s="19">
        <v>0</v>
      </c>
      <c r="H30" s="19">
        <v>0</v>
      </c>
      <c r="I30" s="19">
        <v>0</v>
      </c>
      <c r="J30" s="19">
        <v>0</v>
      </c>
    </row>
    <row r="31" spans="1:10" s="11" customFormat="1" x14ac:dyDescent="0.2">
      <c r="A31" s="19" t="s">
        <v>21</v>
      </c>
      <c r="B31" s="19">
        <v>0</v>
      </c>
      <c r="C31" s="19">
        <v>0</v>
      </c>
      <c r="D31" s="19">
        <v>0</v>
      </c>
      <c r="E31" s="19">
        <v>0</v>
      </c>
      <c r="F31" s="19">
        <v>0</v>
      </c>
      <c r="G31" s="19">
        <v>0</v>
      </c>
      <c r="H31" s="19">
        <v>0</v>
      </c>
      <c r="I31" s="19">
        <v>0</v>
      </c>
      <c r="J31" s="19">
        <v>0</v>
      </c>
    </row>
    <row r="32" spans="1:10" s="11" customFormat="1" x14ac:dyDescent="0.2">
      <c r="A32" s="19" t="s">
        <v>20</v>
      </c>
      <c r="B32" s="19">
        <v>0</v>
      </c>
      <c r="C32" s="19">
        <v>0</v>
      </c>
      <c r="D32" s="19">
        <v>0</v>
      </c>
      <c r="E32" s="19">
        <v>0</v>
      </c>
      <c r="F32" s="19">
        <v>0</v>
      </c>
      <c r="G32" s="19">
        <v>0</v>
      </c>
      <c r="H32" s="19">
        <v>0</v>
      </c>
      <c r="I32" s="19">
        <v>0</v>
      </c>
      <c r="J32" s="19">
        <v>0</v>
      </c>
    </row>
    <row r="33" spans="1:10" s="11" customFormat="1" x14ac:dyDescent="0.2">
      <c r="A33" s="19" t="s">
        <v>19</v>
      </c>
      <c r="B33" s="19">
        <v>0</v>
      </c>
      <c r="C33" s="19">
        <v>0</v>
      </c>
      <c r="D33" s="19">
        <v>0</v>
      </c>
      <c r="E33" s="19">
        <v>0</v>
      </c>
      <c r="F33" s="19">
        <v>0</v>
      </c>
      <c r="G33" s="19">
        <v>0</v>
      </c>
      <c r="H33" s="19">
        <v>0</v>
      </c>
      <c r="I33" s="19">
        <v>0</v>
      </c>
      <c r="J33" s="19">
        <v>0</v>
      </c>
    </row>
    <row r="34" spans="1:10" s="11" customFormat="1" x14ac:dyDescent="0.2">
      <c r="A34" s="19" t="s">
        <v>18</v>
      </c>
      <c r="B34" s="21">
        <v>0</v>
      </c>
      <c r="C34" s="21">
        <v>0</v>
      </c>
      <c r="D34" s="21">
        <v>0</v>
      </c>
      <c r="E34" s="21">
        <v>0</v>
      </c>
      <c r="F34" s="21">
        <v>0</v>
      </c>
      <c r="G34" s="21">
        <v>0</v>
      </c>
      <c r="H34" s="21">
        <v>0</v>
      </c>
      <c r="I34" s="21">
        <v>0</v>
      </c>
      <c r="J34" s="21">
        <v>0</v>
      </c>
    </row>
    <row r="35" spans="1:10" s="20" customFormat="1" x14ac:dyDescent="0.2">
      <c r="A35" s="20" t="s">
        <v>17</v>
      </c>
      <c r="B35" s="20">
        <v>0</v>
      </c>
      <c r="C35" s="20">
        <v>0</v>
      </c>
      <c r="D35" s="20">
        <v>0</v>
      </c>
      <c r="E35" s="20">
        <v>0</v>
      </c>
      <c r="F35" s="20">
        <v>0</v>
      </c>
      <c r="G35" s="20">
        <v>0</v>
      </c>
      <c r="H35" s="20">
        <v>0</v>
      </c>
      <c r="I35" s="20">
        <v>0</v>
      </c>
      <c r="J35" s="20">
        <v>0</v>
      </c>
    </row>
    <row r="36" spans="1:10" s="11" customFormat="1" x14ac:dyDescent="0.2">
      <c r="A36" s="19" t="s">
        <v>16</v>
      </c>
      <c r="B36" s="21">
        <v>0</v>
      </c>
      <c r="C36" s="21">
        <v>0</v>
      </c>
      <c r="D36" s="21">
        <v>0</v>
      </c>
      <c r="E36" s="21">
        <v>0</v>
      </c>
      <c r="F36" s="21">
        <v>0</v>
      </c>
      <c r="G36" s="21">
        <v>0</v>
      </c>
      <c r="H36" s="21">
        <v>0</v>
      </c>
      <c r="I36" s="21">
        <v>0</v>
      </c>
      <c r="J36" s="21">
        <v>0</v>
      </c>
    </row>
    <row r="37" spans="1:10" s="20" customFormat="1" x14ac:dyDescent="0.2">
      <c r="A37" s="20" t="s">
        <v>15</v>
      </c>
      <c r="B37" s="20">
        <f>+B35+B36</f>
        <v>0</v>
      </c>
      <c r="C37" s="20">
        <f>+C35+C36</f>
        <v>0</v>
      </c>
      <c r="D37" s="20">
        <f t="shared" ref="D37:J37" si="8">+D35+D36</f>
        <v>0</v>
      </c>
      <c r="E37" s="20">
        <f t="shared" si="8"/>
        <v>0</v>
      </c>
      <c r="F37" s="20">
        <f t="shared" si="8"/>
        <v>0</v>
      </c>
      <c r="G37" s="20">
        <f t="shared" si="8"/>
        <v>0</v>
      </c>
      <c r="H37" s="20">
        <f t="shared" si="8"/>
        <v>0</v>
      </c>
      <c r="I37" s="20">
        <f t="shared" si="8"/>
        <v>0</v>
      </c>
      <c r="J37" s="20">
        <f t="shared" si="8"/>
        <v>0</v>
      </c>
    </row>
    <row r="39" spans="1:10" s="16" customFormat="1" x14ac:dyDescent="0.2">
      <c r="A39" s="18" t="s">
        <v>14</v>
      </c>
      <c r="B39" s="19">
        <v>85.5</v>
      </c>
      <c r="C39" s="19">
        <v>217</v>
      </c>
      <c r="D39" s="19"/>
      <c r="E39" s="19"/>
      <c r="F39" s="19"/>
      <c r="G39" s="19"/>
      <c r="H39" s="19"/>
      <c r="I39" s="19"/>
      <c r="J39" s="19"/>
    </row>
    <row r="40" spans="1:10" s="16" customFormat="1" x14ac:dyDescent="0.2">
      <c r="A40" s="18" t="s">
        <v>13</v>
      </c>
      <c r="B40" s="19">
        <v>635.4</v>
      </c>
      <c r="C40" s="19">
        <v>635.4</v>
      </c>
      <c r="D40" s="19"/>
      <c r="E40" s="19"/>
      <c r="F40" s="19"/>
      <c r="G40" s="19"/>
      <c r="H40" s="19"/>
      <c r="I40" s="19"/>
      <c r="J40" s="19"/>
    </row>
    <row r="41" spans="1:10" s="16" customFormat="1" x14ac:dyDescent="0.2">
      <c r="A41" s="18" t="s">
        <v>12</v>
      </c>
      <c r="B41" s="19">
        <f>B39+B40+72.8</f>
        <v>793.69999999999993</v>
      </c>
      <c r="C41" s="19">
        <f>C39+C40+77.3</f>
        <v>929.69999999999993</v>
      </c>
      <c r="D41" s="19"/>
      <c r="E41" s="19"/>
      <c r="F41" s="19"/>
      <c r="G41" s="19"/>
      <c r="H41" s="19"/>
      <c r="I41" s="19"/>
      <c r="J41" s="19"/>
    </row>
    <row r="42" spans="1:10" s="16" customFormat="1" x14ac:dyDescent="0.2">
      <c r="A42" s="18" t="s">
        <v>11</v>
      </c>
      <c r="B42" s="17">
        <v>764.85000000000025</v>
      </c>
      <c r="C42" s="17">
        <v>764.85000000000025</v>
      </c>
      <c r="D42" s="17"/>
      <c r="E42" s="17"/>
      <c r="F42" s="17"/>
      <c r="G42" s="17"/>
      <c r="H42" s="17"/>
      <c r="I42" s="17"/>
      <c r="J42" s="17"/>
    </row>
    <row r="43" spans="1:10" x14ac:dyDescent="0.2">
      <c r="B43" s="16"/>
      <c r="C43" s="16"/>
      <c r="D43" s="16"/>
      <c r="E43" s="16"/>
    </row>
    <row r="44" spans="1:10" x14ac:dyDescent="0.2">
      <c r="A44" s="15" t="s">
        <v>10</v>
      </c>
      <c r="B44" s="27">
        <v>27.4</v>
      </c>
      <c r="C44" s="27">
        <v>33.200000000000003</v>
      </c>
      <c r="D44" s="27"/>
      <c r="E44" s="27"/>
      <c r="F44" s="27"/>
      <c r="G44" s="27"/>
      <c r="H44" s="27"/>
      <c r="I44" s="14"/>
      <c r="J44" s="14"/>
    </row>
    <row r="46" spans="1:10" x14ac:dyDescent="0.2">
      <c r="A46" s="1" t="s">
        <v>9</v>
      </c>
      <c r="B46" s="12">
        <v>2762.3</v>
      </c>
      <c r="C46" s="12">
        <v>2609.9999999999995</v>
      </c>
      <c r="D46" s="11"/>
      <c r="E46" s="11"/>
      <c r="F46" s="11"/>
      <c r="G46" s="11"/>
    </row>
    <row r="47" spans="1:10" x14ac:dyDescent="0.2">
      <c r="A47" s="1" t="s">
        <v>8</v>
      </c>
      <c r="B47" s="12">
        <v>323.3</v>
      </c>
      <c r="C47" s="12">
        <v>276.40000000000003</v>
      </c>
      <c r="D47" s="11"/>
      <c r="E47" s="11"/>
      <c r="F47" s="11"/>
      <c r="G47" s="11"/>
    </row>
    <row r="48" spans="1:10" x14ac:dyDescent="0.2">
      <c r="A48" s="1" t="s">
        <v>7</v>
      </c>
      <c r="B48" s="12">
        <v>291.10000000000002</v>
      </c>
      <c r="C48" s="12">
        <v>150.57100000000003</v>
      </c>
      <c r="D48" s="11"/>
      <c r="E48" s="11"/>
      <c r="F48" s="11"/>
      <c r="G48" s="11"/>
    </row>
    <row r="50" spans="1:10" s="10" customFormat="1" x14ac:dyDescent="0.2">
      <c r="A50" s="10" t="s">
        <v>6</v>
      </c>
      <c r="B50" s="10">
        <f>+SUM(B39:B40)/B47</f>
        <v>2.2298175069594803</v>
      </c>
      <c r="C50" s="10">
        <f>+SUM(C39:C40)/C47</f>
        <v>3.0839363241678721</v>
      </c>
    </row>
    <row r="51" spans="1:10" s="10" customFormat="1" x14ac:dyDescent="0.2">
      <c r="A51" s="10" t="s">
        <v>5</v>
      </c>
      <c r="B51" s="10">
        <f>+B41/B47</f>
        <v>2.4549953603464272</v>
      </c>
      <c r="C51" s="10">
        <f>+C41/C47</f>
        <v>3.3636034732272062</v>
      </c>
    </row>
    <row r="52" spans="1:10" s="10" customFormat="1" x14ac:dyDescent="0.2">
      <c r="A52" s="10" t="s">
        <v>4</v>
      </c>
      <c r="B52" s="10">
        <f>+(B41-B44)/B47</f>
        <v>2.3702443550881531</v>
      </c>
      <c r="C52" s="10">
        <f>+(C41-C44)/C47</f>
        <v>3.2434876989869745</v>
      </c>
    </row>
    <row r="53" spans="1:10" s="6" customFormat="1" x14ac:dyDescent="0.2">
      <c r="A53" s="6" t="s">
        <v>3</v>
      </c>
      <c r="B53" s="6">
        <f>+B48/B41</f>
        <v>0.36676326067783804</v>
      </c>
      <c r="C53" s="6">
        <f>+C48/C41</f>
        <v>0.16195654512208243</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4.7360037117228577</v>
      </c>
      <c r="C55" s="7">
        <f>IF(C42=0,IF(C54="","","*"&amp;TEXT(C54,"0.0x")),(C41+C42-C44)/C47)</f>
        <v>6.0106729377713455</v>
      </c>
      <c r="D55" s="7"/>
      <c r="E55" s="7"/>
      <c r="F55" s="7"/>
      <c r="G55" s="7"/>
      <c r="H55" s="7"/>
      <c r="I55" s="7" t="str">
        <f t="shared" ref="I55:J55" si="9">IF(I42=0,IF(I54="","",CONCATENATE("* ",I54,"x")),(I41+I42-I44)/I47)</f>
        <v/>
      </c>
      <c r="J55" s="7" t="str">
        <f t="shared" si="9"/>
        <v/>
      </c>
    </row>
    <row r="56" spans="1:10" x14ac:dyDescent="0.2">
      <c r="G56" s="3"/>
    </row>
    <row r="57" spans="1:10" ht="80.25" customHeight="1" x14ac:dyDescent="0.2">
      <c r="A57" s="5" t="s">
        <v>0</v>
      </c>
      <c r="B57" s="4" t="s">
        <v>461</v>
      </c>
      <c r="C57" s="4" t="s">
        <v>104</v>
      </c>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F3C1C-3295-406F-8660-49021E549C2A}">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588</v>
      </c>
    </row>
    <row r="3" spans="1:9" s="35" customFormat="1" x14ac:dyDescent="0.2">
      <c r="A3" s="36" t="s">
        <v>43</v>
      </c>
      <c r="B3" s="35" t="s">
        <v>589</v>
      </c>
    </row>
    <row r="4" spans="1:9" x14ac:dyDescent="0.2">
      <c r="A4" s="34" t="s">
        <v>41</v>
      </c>
      <c r="B4" s="1" t="s">
        <v>40</v>
      </c>
    </row>
    <row r="5" spans="1:9" x14ac:dyDescent="0.2">
      <c r="A5" s="34" t="s">
        <v>39</v>
      </c>
    </row>
    <row r="6" spans="1:9" x14ac:dyDescent="0.2">
      <c r="A6" s="34" t="s">
        <v>38</v>
      </c>
      <c r="B6" s="1">
        <v>3</v>
      </c>
    </row>
    <row r="7" spans="1:9" x14ac:dyDescent="0.2">
      <c r="A7" s="34" t="s">
        <v>37</v>
      </c>
      <c r="B7" s="1" t="s">
        <v>563</v>
      </c>
    </row>
    <row r="8" spans="1:9" x14ac:dyDescent="0.2">
      <c r="A8" s="34" t="s">
        <v>281</v>
      </c>
      <c r="B8" s="1" t="s">
        <v>590</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835</v>
      </c>
      <c r="C40" s="19"/>
      <c r="D40" s="19"/>
      <c r="E40" s="19"/>
      <c r="F40" s="19"/>
      <c r="G40" s="19"/>
      <c r="H40" s="19"/>
      <c r="I40" s="19"/>
    </row>
    <row r="41" spans="1:9" s="16" customFormat="1" x14ac:dyDescent="0.2">
      <c r="A41" s="18" t="s">
        <v>12</v>
      </c>
      <c r="B41" s="19">
        <f>B39+B40</f>
        <v>835</v>
      </c>
      <c r="C41" s="19"/>
      <c r="D41" s="19"/>
      <c r="E41" s="19"/>
      <c r="F41" s="19"/>
      <c r="G41" s="19"/>
      <c r="H41" s="19"/>
      <c r="I41" s="19"/>
    </row>
    <row r="42" spans="1:9" s="16" customFormat="1" x14ac:dyDescent="0.2">
      <c r="A42" s="18" t="s">
        <v>11</v>
      </c>
      <c r="B42" s="17">
        <v>2100</v>
      </c>
      <c r="C42" s="17"/>
      <c r="D42" s="17"/>
      <c r="E42" s="17"/>
      <c r="F42" s="17"/>
      <c r="G42" s="17"/>
      <c r="H42" s="17"/>
      <c r="I42" s="17"/>
    </row>
    <row r="43" spans="1:9" x14ac:dyDescent="0.2">
      <c r="B43" s="16"/>
      <c r="C43" s="16"/>
      <c r="D43" s="16"/>
    </row>
    <row r="44" spans="1:9" x14ac:dyDescent="0.2">
      <c r="A44" s="15" t="s">
        <v>10</v>
      </c>
      <c r="B44" s="27">
        <v>96</v>
      </c>
      <c r="C44" s="27"/>
      <c r="D44" s="27"/>
      <c r="E44" s="27"/>
      <c r="F44" s="27"/>
      <c r="G44" s="27"/>
      <c r="H44" s="14"/>
      <c r="I44" s="14"/>
    </row>
    <row r="46" spans="1:9" x14ac:dyDescent="0.2">
      <c r="A46" s="1" t="s">
        <v>9</v>
      </c>
      <c r="B46" s="12">
        <v>1368</v>
      </c>
      <c r="C46" s="11"/>
      <c r="D46" s="11"/>
      <c r="E46" s="11"/>
      <c r="F46" s="11"/>
    </row>
    <row r="47" spans="1:9" x14ac:dyDescent="0.2">
      <c r="A47" s="1" t="s">
        <v>8</v>
      </c>
      <c r="B47" s="12">
        <v>222.59999999999997</v>
      </c>
      <c r="C47" s="11"/>
      <c r="D47" s="11"/>
      <c r="E47" s="11"/>
      <c r="F47" s="11"/>
    </row>
    <row r="48" spans="1:9" x14ac:dyDescent="0.2">
      <c r="A48" s="1" t="s">
        <v>7</v>
      </c>
      <c r="B48" s="11"/>
      <c r="C48" s="11"/>
      <c r="D48" s="11"/>
      <c r="E48" s="11"/>
      <c r="F48" s="11"/>
    </row>
    <row r="50" spans="1:9" s="10" customFormat="1" x14ac:dyDescent="0.2">
      <c r="A50" s="10" t="s">
        <v>6</v>
      </c>
      <c r="B50" s="10">
        <f>+SUM(B39:B40)/B47</f>
        <v>3.7511230907457329</v>
      </c>
    </row>
    <row r="51" spans="1:9" s="10" customFormat="1" x14ac:dyDescent="0.2">
      <c r="A51" s="10" t="s">
        <v>5</v>
      </c>
      <c r="B51" s="10">
        <f>+B41/B47</f>
        <v>3.7511230907457329</v>
      </c>
    </row>
    <row r="52" spans="1:9" s="10" customFormat="1" x14ac:dyDescent="0.2">
      <c r="A52" s="10" t="s">
        <v>4</v>
      </c>
      <c r="B52" s="10">
        <f>+(B41-B44)/B47</f>
        <v>3.319856244384547</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12.753818508535492</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1775C-4648-48A2-99AA-A814D1E3BA79}">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591</v>
      </c>
    </row>
    <row r="3" spans="1:9" s="35" customFormat="1" x14ac:dyDescent="0.2">
      <c r="A3" s="36" t="s">
        <v>43</v>
      </c>
      <c r="B3" s="35" t="s">
        <v>593</v>
      </c>
    </row>
    <row r="4" spans="1:9" x14ac:dyDescent="0.2">
      <c r="A4" s="34" t="s">
        <v>41</v>
      </c>
      <c r="B4" s="1" t="s">
        <v>40</v>
      </c>
    </row>
    <row r="5" spans="1:9" x14ac:dyDescent="0.2">
      <c r="A5" s="34" t="s">
        <v>39</v>
      </c>
    </row>
    <row r="6" spans="1:9" x14ac:dyDescent="0.2">
      <c r="A6" s="34" t="s">
        <v>38</v>
      </c>
      <c r="B6" s="1">
        <v>4</v>
      </c>
    </row>
    <row r="7" spans="1:9" x14ac:dyDescent="0.2">
      <c r="A7" s="34" t="s">
        <v>37</v>
      </c>
      <c r="B7" s="1" t="s">
        <v>402</v>
      </c>
    </row>
    <row r="8" spans="1:9" x14ac:dyDescent="0.2">
      <c r="A8" s="34" t="s">
        <v>281</v>
      </c>
      <c r="B8" s="1" t="s">
        <v>592</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620</v>
      </c>
      <c r="C40" s="19"/>
      <c r="D40" s="19"/>
      <c r="E40" s="19"/>
      <c r="F40" s="19"/>
      <c r="G40" s="19"/>
      <c r="H40" s="19"/>
      <c r="I40" s="19"/>
    </row>
    <row r="41" spans="1:9" s="16" customFormat="1" x14ac:dyDescent="0.2">
      <c r="A41" s="18" t="s">
        <v>12</v>
      </c>
      <c r="B41" s="19">
        <f>B39+B40</f>
        <v>620</v>
      </c>
      <c r="C41" s="19"/>
      <c r="D41" s="19"/>
      <c r="E41" s="19"/>
      <c r="F41" s="19"/>
      <c r="G41" s="19"/>
      <c r="H41" s="19"/>
      <c r="I41" s="19"/>
    </row>
    <row r="42" spans="1:9" s="16" customFormat="1" x14ac:dyDescent="0.2">
      <c r="A42" s="18" t="s">
        <v>11</v>
      </c>
      <c r="B42" s="17">
        <v>330</v>
      </c>
      <c r="C42" s="17"/>
      <c r="D42" s="17"/>
      <c r="E42" s="17"/>
      <c r="F42" s="17"/>
      <c r="G42" s="17"/>
      <c r="H42" s="17"/>
      <c r="I42" s="17"/>
    </row>
    <row r="43" spans="1:9" x14ac:dyDescent="0.2">
      <c r="B43" s="16"/>
      <c r="C43" s="16"/>
      <c r="D43" s="16"/>
    </row>
    <row r="44" spans="1:9" x14ac:dyDescent="0.2">
      <c r="A44" s="15" t="s">
        <v>10</v>
      </c>
      <c r="B44" s="27">
        <v>18</v>
      </c>
      <c r="C44" s="27"/>
      <c r="D44" s="27"/>
      <c r="E44" s="27"/>
      <c r="F44" s="27"/>
      <c r="G44" s="27"/>
      <c r="H44" s="14"/>
      <c r="I44" s="14"/>
    </row>
    <row r="46" spans="1:9" x14ac:dyDescent="0.2">
      <c r="A46" s="1" t="s">
        <v>9</v>
      </c>
      <c r="B46" s="12">
        <v>972</v>
      </c>
      <c r="C46" s="11"/>
      <c r="D46" s="11"/>
      <c r="E46" s="11"/>
      <c r="F46" s="11"/>
    </row>
    <row r="47" spans="1:9" x14ac:dyDescent="0.2">
      <c r="A47" s="1" t="s">
        <v>8</v>
      </c>
      <c r="B47" s="12">
        <v>124.5</v>
      </c>
      <c r="C47" s="11"/>
      <c r="D47" s="11"/>
      <c r="E47" s="11"/>
      <c r="F47" s="11"/>
    </row>
    <row r="48" spans="1:9" x14ac:dyDescent="0.2">
      <c r="A48" s="1" t="s">
        <v>7</v>
      </c>
      <c r="B48" s="11"/>
      <c r="C48" s="11"/>
      <c r="D48" s="11"/>
      <c r="E48" s="11"/>
      <c r="F48" s="11"/>
    </row>
    <row r="50" spans="1:9" s="10" customFormat="1" x14ac:dyDescent="0.2">
      <c r="A50" s="10" t="s">
        <v>6</v>
      </c>
      <c r="B50" s="10">
        <f>+SUM(B39:B40)/B47</f>
        <v>4.9799196787148592</v>
      </c>
    </row>
    <row r="51" spans="1:9" s="10" customFormat="1" x14ac:dyDescent="0.2">
      <c r="A51" s="10" t="s">
        <v>5</v>
      </c>
      <c r="B51" s="10">
        <f>+B41/B47</f>
        <v>4.9799196787148592</v>
      </c>
    </row>
    <row r="52" spans="1:9" s="10" customFormat="1" x14ac:dyDescent="0.2">
      <c r="A52" s="10" t="s">
        <v>4</v>
      </c>
      <c r="B52" s="10">
        <f>+(B41-B44)/B47</f>
        <v>4.8353413654618471</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7.4859437751004014</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16F6-780C-43A0-821A-B3EF92625049}">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598</v>
      </c>
    </row>
    <row r="3" spans="1:9" s="35" customFormat="1" x14ac:dyDescent="0.2">
      <c r="A3" s="36" t="s">
        <v>43</v>
      </c>
      <c r="B3" s="35" t="s">
        <v>596</v>
      </c>
    </row>
    <row r="4" spans="1:9" x14ac:dyDescent="0.2">
      <c r="A4" s="34" t="s">
        <v>41</v>
      </c>
      <c r="B4" s="1" t="s">
        <v>40</v>
      </c>
    </row>
    <row r="5" spans="1:9" x14ac:dyDescent="0.2">
      <c r="A5" s="34" t="s">
        <v>39</v>
      </c>
    </row>
    <row r="6" spans="1:9" x14ac:dyDescent="0.2">
      <c r="A6" s="34" t="s">
        <v>38</v>
      </c>
      <c r="B6" s="1">
        <v>3</v>
      </c>
    </row>
    <row r="7" spans="1:9" x14ac:dyDescent="0.2">
      <c r="A7" s="34" t="s">
        <v>37</v>
      </c>
      <c r="B7" s="1" t="s">
        <v>394</v>
      </c>
    </row>
    <row r="8" spans="1:9" x14ac:dyDescent="0.2">
      <c r="A8" s="34" t="s">
        <v>281</v>
      </c>
      <c r="B8" s="1" t="s">
        <v>597</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2550</v>
      </c>
      <c r="C40" s="19"/>
      <c r="D40" s="19"/>
      <c r="E40" s="19"/>
      <c r="F40" s="19"/>
      <c r="G40" s="19"/>
      <c r="H40" s="19"/>
      <c r="I40" s="19"/>
    </row>
    <row r="41" spans="1:9" s="16" customFormat="1" x14ac:dyDescent="0.2">
      <c r="A41" s="18" t="s">
        <v>12</v>
      </c>
      <c r="B41" s="19">
        <f>B39+B40+670</f>
        <v>3220</v>
      </c>
      <c r="C41" s="19"/>
      <c r="D41" s="19"/>
      <c r="E41" s="19"/>
      <c r="F41" s="19"/>
      <c r="G41" s="19"/>
      <c r="H41" s="19"/>
      <c r="I41" s="19"/>
    </row>
    <row r="42" spans="1:9" s="16" customFormat="1" x14ac:dyDescent="0.2">
      <c r="A42" s="18" t="s">
        <v>11</v>
      </c>
      <c r="B42" s="17">
        <v>1315</v>
      </c>
      <c r="C42" s="17"/>
      <c r="D42" s="17"/>
      <c r="E42" s="17"/>
      <c r="F42" s="17"/>
      <c r="G42" s="17"/>
      <c r="H42" s="17"/>
      <c r="I42" s="17"/>
    </row>
    <row r="43" spans="1:9" x14ac:dyDescent="0.2">
      <c r="B43" s="16"/>
      <c r="C43" s="16"/>
      <c r="D43" s="16"/>
    </row>
    <row r="44" spans="1:9" x14ac:dyDescent="0.2">
      <c r="A44" s="15" t="s">
        <v>10</v>
      </c>
      <c r="B44" s="27">
        <v>35</v>
      </c>
      <c r="C44" s="27"/>
      <c r="D44" s="27"/>
      <c r="E44" s="27"/>
      <c r="F44" s="27"/>
      <c r="G44" s="27"/>
      <c r="H44" s="14"/>
      <c r="I44" s="14"/>
    </row>
    <row r="46" spans="1:9" x14ac:dyDescent="0.2">
      <c r="A46" s="1" t="s">
        <v>9</v>
      </c>
      <c r="B46" s="12">
        <v>3425</v>
      </c>
      <c r="C46" s="11"/>
      <c r="D46" s="11"/>
      <c r="E46" s="11"/>
      <c r="F46" s="11"/>
    </row>
    <row r="47" spans="1:9" x14ac:dyDescent="0.2">
      <c r="A47" s="1" t="s">
        <v>8</v>
      </c>
      <c r="B47" s="12">
        <v>531</v>
      </c>
      <c r="C47" s="11"/>
      <c r="D47" s="11"/>
      <c r="E47" s="11"/>
      <c r="F47" s="11"/>
    </row>
    <row r="48" spans="1:9" x14ac:dyDescent="0.2">
      <c r="A48" s="1" t="s">
        <v>7</v>
      </c>
      <c r="B48" s="11"/>
      <c r="C48" s="11"/>
      <c r="D48" s="11"/>
      <c r="E48" s="11"/>
      <c r="F48" s="11"/>
    </row>
    <row r="50" spans="1:9" s="10" customFormat="1" x14ac:dyDescent="0.2">
      <c r="A50" s="10" t="s">
        <v>6</v>
      </c>
      <c r="B50" s="10">
        <f>+SUM(B39:B40)/B47</f>
        <v>4.8022598870056497</v>
      </c>
    </row>
    <row r="51" spans="1:9" s="10" customFormat="1" x14ac:dyDescent="0.2">
      <c r="A51" s="10" t="s">
        <v>5</v>
      </c>
      <c r="B51" s="10">
        <f>+B41/B47</f>
        <v>6.0640301318267422</v>
      </c>
    </row>
    <row r="52" spans="1:9" s="10" customFormat="1" x14ac:dyDescent="0.2">
      <c r="A52" s="10" t="s">
        <v>4</v>
      </c>
      <c r="B52" s="10">
        <f>+(B41-B44)/B47</f>
        <v>5.9981167608286254</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8.4745762711864412</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691D-9D8E-4E59-B9FF-E4398516C612}">
  <dimension ref="A2:I59"/>
  <sheetViews>
    <sheetView showGridLines="0" zoomScaleNormal="100" workbookViewId="0">
      <pane xSplit="1" ySplit="10" topLeftCell="B45" activePane="bottomRight" state="frozen"/>
      <selection activeCell="T45" sqref="T45"/>
      <selection pane="topRight" activeCell="T45" sqref="T45"/>
      <selection pane="bottomLeft" activeCell="T45" sqref="T45"/>
      <selection pane="bottomRight" activeCell="B45" sqref="B45"/>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599</v>
      </c>
    </row>
    <row r="3" spans="1:9" s="35" customFormat="1" x14ac:dyDescent="0.2">
      <c r="A3" s="36" t="s">
        <v>43</v>
      </c>
      <c r="B3" s="35" t="s">
        <v>600</v>
      </c>
    </row>
    <row r="4" spans="1:9" x14ac:dyDescent="0.2">
      <c r="A4" s="34" t="s">
        <v>41</v>
      </c>
      <c r="B4" s="1" t="s">
        <v>40</v>
      </c>
    </row>
    <row r="5" spans="1:9" x14ac:dyDescent="0.2">
      <c r="A5" s="34" t="s">
        <v>39</v>
      </c>
    </row>
    <row r="6" spans="1:9" x14ac:dyDescent="0.2">
      <c r="A6" s="34" t="s">
        <v>38</v>
      </c>
      <c r="B6" s="1">
        <v>2</v>
      </c>
    </row>
    <row r="7" spans="1:9" x14ac:dyDescent="0.2">
      <c r="A7" s="34" t="s">
        <v>37</v>
      </c>
      <c r="B7" s="1" t="s">
        <v>422</v>
      </c>
    </row>
    <row r="8" spans="1:9" x14ac:dyDescent="0.2">
      <c r="A8" s="34" t="s">
        <v>281</v>
      </c>
      <c r="B8" s="1" t="s">
        <v>601</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300</v>
      </c>
      <c r="C40" s="19"/>
      <c r="D40" s="19"/>
      <c r="E40" s="19"/>
      <c r="F40" s="19"/>
      <c r="G40" s="19"/>
      <c r="H40" s="19"/>
      <c r="I40" s="19"/>
    </row>
    <row r="41" spans="1:9" s="16" customFormat="1" x14ac:dyDescent="0.2">
      <c r="A41" s="18" t="s">
        <v>12</v>
      </c>
      <c r="B41" s="19">
        <f>B39+B40</f>
        <v>300</v>
      </c>
      <c r="C41" s="19"/>
      <c r="D41" s="19"/>
      <c r="E41" s="19"/>
      <c r="F41" s="19"/>
      <c r="G41" s="19"/>
      <c r="H41" s="19"/>
      <c r="I41" s="19"/>
    </row>
    <row r="42" spans="1:9" s="16" customFormat="1" x14ac:dyDescent="0.2">
      <c r="A42" s="18" t="s">
        <v>11</v>
      </c>
      <c r="B42" s="17">
        <v>7471</v>
      </c>
      <c r="C42" s="17"/>
      <c r="D42" s="17"/>
      <c r="E42" s="17"/>
      <c r="F42" s="17"/>
      <c r="G42" s="17"/>
      <c r="H42" s="17"/>
      <c r="I42" s="17"/>
    </row>
    <row r="43" spans="1:9" x14ac:dyDescent="0.2">
      <c r="B43" s="16"/>
      <c r="C43" s="16"/>
      <c r="D43" s="16"/>
    </row>
    <row r="44" spans="1:9" x14ac:dyDescent="0.2">
      <c r="A44" s="15" t="s">
        <v>10</v>
      </c>
      <c r="B44" s="27">
        <v>84.2</v>
      </c>
      <c r="C44" s="27"/>
      <c r="D44" s="27"/>
      <c r="E44" s="27"/>
      <c r="F44" s="27"/>
      <c r="G44" s="27"/>
      <c r="H44" s="14"/>
      <c r="I44" s="14"/>
    </row>
    <row r="46" spans="1:9" x14ac:dyDescent="0.2">
      <c r="A46" s="1" t="s">
        <v>9</v>
      </c>
      <c r="B46" s="12">
        <v>2704.5</v>
      </c>
      <c r="C46" s="11"/>
      <c r="D46" s="11"/>
      <c r="E46" s="11"/>
      <c r="F46" s="11"/>
    </row>
    <row r="47" spans="1:9" x14ac:dyDescent="0.2">
      <c r="A47" s="1" t="s">
        <v>8</v>
      </c>
      <c r="B47" s="12">
        <v>260.2</v>
      </c>
      <c r="C47" s="11"/>
      <c r="D47" s="11"/>
      <c r="E47" s="11"/>
      <c r="F47" s="11"/>
    </row>
    <row r="48" spans="1:9" x14ac:dyDescent="0.2">
      <c r="A48" s="1" t="s">
        <v>7</v>
      </c>
      <c r="B48" s="11"/>
      <c r="C48" s="11"/>
      <c r="D48" s="11"/>
      <c r="E48" s="11"/>
      <c r="F48" s="11"/>
    </row>
    <row r="50" spans="1:9" s="10" customFormat="1" x14ac:dyDescent="0.2">
      <c r="A50" s="10" t="s">
        <v>6</v>
      </c>
      <c r="B50" s="10">
        <f>+SUM(B39:B40)/B47</f>
        <v>1.1529592621060722</v>
      </c>
    </row>
    <row r="51" spans="1:9" s="10" customFormat="1" x14ac:dyDescent="0.2">
      <c r="A51" s="10" t="s">
        <v>5</v>
      </c>
      <c r="B51" s="10">
        <f>+B41/B47</f>
        <v>1.1529592621060722</v>
      </c>
    </row>
    <row r="52" spans="1:9" s="10" customFormat="1" x14ac:dyDescent="0.2">
      <c r="A52" s="10" t="s">
        <v>4</v>
      </c>
      <c r="B52" s="10">
        <f>+(B41-B44)/B47</f>
        <v>0.82936202920830138</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29.541890853189855</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EE20-99EF-4850-83EE-B772BD1AC7DC}">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602</v>
      </c>
    </row>
    <row r="3" spans="1:9" s="35" customFormat="1" x14ac:dyDescent="0.2">
      <c r="A3" s="36" t="s">
        <v>43</v>
      </c>
      <c r="B3" s="35" t="s">
        <v>606</v>
      </c>
    </row>
    <row r="4" spans="1:9" x14ac:dyDescent="0.2">
      <c r="A4" s="34" t="s">
        <v>41</v>
      </c>
      <c r="B4" s="1" t="s">
        <v>40</v>
      </c>
    </row>
    <row r="5" spans="1:9" x14ac:dyDescent="0.2">
      <c r="A5" s="34" t="s">
        <v>39</v>
      </c>
    </row>
    <row r="6" spans="1:9" x14ac:dyDescent="0.2">
      <c r="A6" s="34" t="s">
        <v>38</v>
      </c>
      <c r="B6" s="1" t="s">
        <v>83</v>
      </c>
    </row>
    <row r="7" spans="1:9" x14ac:dyDescent="0.2">
      <c r="A7" s="34" t="s">
        <v>37</v>
      </c>
      <c r="B7" s="1" t="s">
        <v>83</v>
      </c>
    </row>
    <row r="8" spans="1:9" x14ac:dyDescent="0.2">
      <c r="A8" s="34" t="s">
        <v>281</v>
      </c>
      <c r="B8" s="1" t="s">
        <v>605</v>
      </c>
    </row>
    <row r="9" spans="1:9" x14ac:dyDescent="0.2">
      <c r="A9" s="22"/>
    </row>
    <row r="10" spans="1:9" x14ac:dyDescent="0.2">
      <c r="A10" s="22" t="s">
        <v>36</v>
      </c>
      <c r="B10" s="33">
        <v>44196</v>
      </c>
      <c r="C10" s="33">
        <f>EOMONTH(B10,-3)</f>
        <v>44104</v>
      </c>
      <c r="D10" s="33">
        <f t="shared" ref="D10:I10" si="0">EOMONTH(C10,-3)</f>
        <v>44012</v>
      </c>
      <c r="E10" s="33">
        <f t="shared" si="0"/>
        <v>43921</v>
      </c>
      <c r="F10" s="33">
        <f t="shared" si="0"/>
        <v>43830</v>
      </c>
      <c r="G10" s="33">
        <f t="shared" si="0"/>
        <v>43738</v>
      </c>
      <c r="H10" s="33">
        <f t="shared" si="0"/>
        <v>43646</v>
      </c>
      <c r="I10" s="33">
        <f t="shared" si="0"/>
        <v>43555</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f>162+350</f>
        <v>512</v>
      </c>
      <c r="C40" s="19"/>
      <c r="D40" s="19"/>
      <c r="E40" s="19"/>
      <c r="F40" s="19"/>
      <c r="G40" s="19"/>
      <c r="H40" s="19"/>
      <c r="I40" s="19"/>
    </row>
    <row r="41" spans="1:9" s="16" customFormat="1" x14ac:dyDescent="0.2">
      <c r="A41" s="18" t="s">
        <v>12</v>
      </c>
      <c r="B41" s="19">
        <f>B39+B40+500+521+300+300+400</f>
        <v>2533</v>
      </c>
      <c r="C41" s="19"/>
      <c r="D41" s="19"/>
      <c r="E41" s="19"/>
      <c r="F41" s="19"/>
      <c r="G41" s="19"/>
      <c r="H41" s="19"/>
      <c r="I41" s="19"/>
    </row>
    <row r="42" spans="1:9" s="16" customFormat="1" x14ac:dyDescent="0.2">
      <c r="A42" s="18" t="s">
        <v>11</v>
      </c>
      <c r="B42" s="17">
        <v>3560</v>
      </c>
      <c r="C42" s="17"/>
      <c r="D42" s="17"/>
      <c r="E42" s="17"/>
      <c r="F42" s="17"/>
      <c r="G42" s="17"/>
      <c r="H42" s="17"/>
      <c r="I42" s="17"/>
    </row>
    <row r="43" spans="1:9" x14ac:dyDescent="0.2">
      <c r="B43" s="16"/>
      <c r="C43" s="16"/>
      <c r="D43" s="16"/>
    </row>
    <row r="44" spans="1:9" x14ac:dyDescent="0.2">
      <c r="A44" s="15" t="s">
        <v>10</v>
      </c>
      <c r="B44" s="27">
        <v>183</v>
      </c>
      <c r="C44" s="27"/>
      <c r="D44" s="27"/>
      <c r="E44" s="27"/>
      <c r="F44" s="27"/>
      <c r="G44" s="27"/>
      <c r="H44" s="14"/>
      <c r="I44" s="14"/>
    </row>
    <row r="46" spans="1:9" x14ac:dyDescent="0.2">
      <c r="A46" s="1" t="s">
        <v>9</v>
      </c>
      <c r="B46" s="12">
        <v>4238</v>
      </c>
      <c r="C46" s="11"/>
      <c r="D46" s="11"/>
      <c r="E46" s="11"/>
      <c r="F46" s="11"/>
    </row>
    <row r="47" spans="1:9" x14ac:dyDescent="0.2">
      <c r="A47" s="1" t="s">
        <v>8</v>
      </c>
      <c r="B47" s="12">
        <v>687</v>
      </c>
      <c r="C47" s="11"/>
      <c r="D47" s="11"/>
      <c r="E47" s="11"/>
      <c r="F47" s="11"/>
    </row>
    <row r="48" spans="1:9" x14ac:dyDescent="0.2">
      <c r="A48" s="1" t="s">
        <v>7</v>
      </c>
      <c r="B48" s="11"/>
      <c r="C48" s="11"/>
      <c r="D48" s="11"/>
      <c r="E48" s="11"/>
      <c r="F48" s="11"/>
    </row>
    <row r="50" spans="1:9" s="10" customFormat="1" x14ac:dyDescent="0.2">
      <c r="A50" s="10" t="s">
        <v>6</v>
      </c>
      <c r="B50" s="10">
        <f>+SUM(B39:B40)/B47</f>
        <v>0.74526928675400295</v>
      </c>
    </row>
    <row r="51" spans="1:9" s="10" customFormat="1" x14ac:dyDescent="0.2">
      <c r="A51" s="10" t="s">
        <v>5</v>
      </c>
      <c r="B51" s="10">
        <f>+B41/B47</f>
        <v>3.6870451237263464</v>
      </c>
    </row>
    <row r="52" spans="1:9" s="10" customFormat="1" x14ac:dyDescent="0.2">
      <c r="A52" s="10" t="s">
        <v>4</v>
      </c>
      <c r="B52" s="10">
        <f>+(B41-B44)/B47</f>
        <v>3.420669577874818</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f>IF(B42=0,IF(B54="","","*"&amp;TEXT(B54,"0.0x")),(B41+B42-B44)/B47)</f>
        <v>8.6026200873362448</v>
      </c>
      <c r="C55" s="7"/>
      <c r="D55" s="7"/>
      <c r="E55" s="7"/>
      <c r="F55" s="7"/>
      <c r="G55" s="7" t="str">
        <f t="shared" ref="G55:I55" si="8">IF(G42=0,IF(G54="","",CONCATENATE("* ",G54,"x")),(G41+G42-G44)/G47)</f>
        <v/>
      </c>
      <c r="H55" s="7" t="str">
        <f t="shared" si="8"/>
        <v/>
      </c>
      <c r="I55" s="7" t="str">
        <f t="shared" si="8"/>
        <v/>
      </c>
    </row>
    <row r="56" spans="1:9" x14ac:dyDescent="0.2">
      <c r="F56" s="3"/>
    </row>
    <row r="57" spans="1:9" ht="80.25" customHeight="1" x14ac:dyDescent="0.2">
      <c r="A57" s="5" t="s">
        <v>0</v>
      </c>
      <c r="B57" s="4" t="s">
        <v>607</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8A0D0-8486-4F8D-AB4A-B3F710CAB414}">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617</v>
      </c>
    </row>
    <row r="3" spans="1:10" s="35" customFormat="1" x14ac:dyDescent="0.2">
      <c r="A3" s="36" t="s">
        <v>43</v>
      </c>
      <c r="B3" s="35" t="s">
        <v>618</v>
      </c>
    </row>
    <row r="4" spans="1:10" x14ac:dyDescent="0.2">
      <c r="A4" s="34" t="s">
        <v>41</v>
      </c>
      <c r="B4" s="1" t="s">
        <v>40</v>
      </c>
    </row>
    <row r="5" spans="1:10" x14ac:dyDescent="0.2">
      <c r="A5" s="34" t="s">
        <v>39</v>
      </c>
    </row>
    <row r="6" spans="1:10" x14ac:dyDescent="0.2">
      <c r="A6" s="34" t="s">
        <v>38</v>
      </c>
      <c r="B6" s="1">
        <v>3</v>
      </c>
    </row>
    <row r="7" spans="1:10" x14ac:dyDescent="0.2">
      <c r="A7" s="34" t="s">
        <v>37</v>
      </c>
      <c r="B7" s="1" t="s">
        <v>422</v>
      </c>
    </row>
    <row r="8" spans="1:10" x14ac:dyDescent="0.2">
      <c r="A8" s="34" t="s">
        <v>281</v>
      </c>
      <c r="B8" s="1" t="s">
        <v>619</v>
      </c>
    </row>
    <row r="9" spans="1:10" x14ac:dyDescent="0.2">
      <c r="A9" s="22"/>
    </row>
    <row r="10" spans="1:10" x14ac:dyDescent="0.2">
      <c r="A10" s="22" t="s">
        <v>36</v>
      </c>
      <c r="B10" s="33">
        <v>44286</v>
      </c>
      <c r="C10" s="33">
        <v>44196</v>
      </c>
      <c r="D10" s="33">
        <f>EOMONTH(C10,-3)</f>
        <v>44104</v>
      </c>
      <c r="E10" s="33">
        <f t="shared" ref="E10:J10" si="0">EOMONTH(D10,-3)</f>
        <v>44012</v>
      </c>
      <c r="F10" s="33">
        <f t="shared" si="0"/>
        <v>43921</v>
      </c>
      <c r="G10" s="33">
        <f t="shared" si="0"/>
        <v>43830</v>
      </c>
      <c r="H10" s="33">
        <f t="shared" si="0"/>
        <v>43738</v>
      </c>
      <c r="I10" s="33">
        <f t="shared" si="0"/>
        <v>43646</v>
      </c>
      <c r="J10" s="33">
        <f t="shared" si="0"/>
        <v>43555</v>
      </c>
    </row>
    <row r="12" spans="1:10" x14ac:dyDescent="0.2">
      <c r="A12" s="15" t="s">
        <v>35</v>
      </c>
      <c r="B12" s="19">
        <v>116.088294</v>
      </c>
      <c r="C12" s="19"/>
      <c r="D12" s="19"/>
      <c r="E12" s="19"/>
      <c r="F12" s="19">
        <v>96.534322000000003</v>
      </c>
      <c r="G12" s="19"/>
      <c r="H12" s="19"/>
      <c r="I12" s="19"/>
      <c r="J12" s="19"/>
    </row>
    <row r="13" spans="1:10" s="28" customFormat="1" x14ac:dyDescent="0.2">
      <c r="A13" s="28" t="s">
        <v>34</v>
      </c>
      <c r="B13" s="28">
        <f>+B12/F12-1</f>
        <v>0.20255979008170799</v>
      </c>
    </row>
    <row r="14" spans="1:10" s="23" customFormat="1" x14ac:dyDescent="0.2">
      <c r="A14" s="31" t="s">
        <v>33</v>
      </c>
      <c r="B14" s="32" t="s">
        <v>32</v>
      </c>
      <c r="C14" s="32"/>
      <c r="D14" s="32"/>
      <c r="E14" s="32"/>
      <c r="F14" s="32"/>
      <c r="G14" s="31"/>
      <c r="H14" s="31"/>
      <c r="I14" s="31"/>
      <c r="J14" s="31"/>
    </row>
    <row r="16" spans="1:10" s="22" customFormat="1" x14ac:dyDescent="0.2">
      <c r="A16" s="30" t="s">
        <v>31</v>
      </c>
      <c r="B16" s="29">
        <v>56.144868000000002</v>
      </c>
      <c r="C16" s="29"/>
      <c r="D16" s="29"/>
      <c r="E16" s="29"/>
      <c r="F16" s="29">
        <v>36.115107999999999</v>
      </c>
      <c r="G16" s="29"/>
      <c r="H16" s="29"/>
      <c r="I16" s="29"/>
      <c r="J16" s="29"/>
    </row>
    <row r="17" spans="1:10" s="28" customFormat="1" x14ac:dyDescent="0.2">
      <c r="A17" s="28" t="s">
        <v>30</v>
      </c>
      <c r="B17" s="28">
        <f>+B16/B12</f>
        <v>0.48363935815957465</v>
      </c>
      <c r="F17" s="28">
        <f t="shared" ref="F17" si="1">+F16/F12</f>
        <v>0.37411676232625324</v>
      </c>
    </row>
    <row r="18" spans="1:10" s="23" customFormat="1" x14ac:dyDescent="0.2"/>
    <row r="19" spans="1:10" s="23" customFormat="1" x14ac:dyDescent="0.2">
      <c r="A19" s="15" t="s">
        <v>29</v>
      </c>
      <c r="B19" s="19">
        <v>0</v>
      </c>
      <c r="C19" s="19"/>
      <c r="D19" s="19"/>
      <c r="E19" s="19"/>
      <c r="F19" s="19">
        <v>0</v>
      </c>
      <c r="G19" s="19"/>
      <c r="H19" s="19"/>
      <c r="I19" s="19"/>
      <c r="J19" s="19"/>
    </row>
    <row r="20" spans="1:10" s="23" customFormat="1" x14ac:dyDescent="0.2">
      <c r="A20" s="15" t="s">
        <v>28</v>
      </c>
      <c r="B20" s="19">
        <v>0</v>
      </c>
      <c r="C20" s="19"/>
      <c r="D20" s="19"/>
      <c r="E20" s="19"/>
      <c r="F20" s="19">
        <v>0</v>
      </c>
      <c r="G20" s="19"/>
      <c r="H20" s="19"/>
      <c r="I20" s="19"/>
      <c r="J20" s="19"/>
    </row>
    <row r="21" spans="1:10" s="23" customFormat="1" x14ac:dyDescent="0.2">
      <c r="A21" s="15" t="s">
        <v>18</v>
      </c>
      <c r="B21" s="19">
        <v>0</v>
      </c>
      <c r="C21" s="19"/>
      <c r="D21" s="19"/>
      <c r="E21" s="19"/>
      <c r="F21" s="19">
        <v>0</v>
      </c>
      <c r="G21" s="19"/>
      <c r="H21" s="19"/>
      <c r="I21" s="19"/>
      <c r="J21" s="19"/>
    </row>
    <row r="22" spans="1:10" s="22" customFormat="1" x14ac:dyDescent="0.2">
      <c r="A22" s="22" t="s">
        <v>23</v>
      </c>
      <c r="B22" s="20">
        <f>SUM(B16,B19:B21)</f>
        <v>56.144868000000002</v>
      </c>
      <c r="C22" s="20"/>
      <c r="D22" s="20"/>
      <c r="E22" s="20"/>
      <c r="F22" s="20">
        <f t="shared" ref="F22" si="2">SUM(F16,F19:F21)</f>
        <v>36.115107999999999</v>
      </c>
      <c r="G22" s="20"/>
      <c r="H22" s="20"/>
      <c r="I22" s="20"/>
      <c r="J22" s="20"/>
    </row>
    <row r="23" spans="1:10" s="22" customFormat="1" x14ac:dyDescent="0.2">
      <c r="B23" s="20"/>
      <c r="C23" s="20"/>
      <c r="D23" s="20"/>
      <c r="E23" s="20"/>
      <c r="F23" s="20"/>
      <c r="G23" s="20"/>
      <c r="H23" s="20"/>
      <c r="I23" s="20"/>
      <c r="J23" s="20"/>
    </row>
    <row r="24" spans="1:10" s="22" customFormat="1" x14ac:dyDescent="0.2">
      <c r="A24" s="22" t="s">
        <v>27</v>
      </c>
      <c r="B24" s="20"/>
      <c r="C24" s="20"/>
      <c r="D24" s="20"/>
      <c r="E24" s="20"/>
      <c r="F24" s="20"/>
      <c r="G24" s="20"/>
      <c r="H24" s="20"/>
      <c r="I24" s="20"/>
      <c r="J24" s="20"/>
    </row>
    <row r="25" spans="1:10" s="23" customFormat="1" x14ac:dyDescent="0.2">
      <c r="A25" s="15" t="s">
        <v>26</v>
      </c>
      <c r="B25" s="27"/>
      <c r="C25" s="27"/>
      <c r="D25" s="27"/>
      <c r="E25" s="27"/>
      <c r="F25" s="27"/>
      <c r="G25" s="27"/>
      <c r="H25" s="27"/>
      <c r="I25" s="27"/>
      <c r="J25" s="27"/>
    </row>
    <row r="26" spans="1:10" s="23" customFormat="1" x14ac:dyDescent="0.2">
      <c r="A26" s="15" t="s">
        <v>25</v>
      </c>
      <c r="B26" s="21"/>
      <c r="C26" s="21"/>
      <c r="D26" s="21"/>
      <c r="E26" s="21"/>
      <c r="F26" s="21"/>
      <c r="G26" s="21"/>
      <c r="H26" s="26"/>
      <c r="I26" s="26"/>
      <c r="J26" s="26"/>
    </row>
    <row r="27" spans="1:10" s="24" customFormat="1" x14ac:dyDescent="0.2">
      <c r="A27" s="22" t="s">
        <v>24</v>
      </c>
      <c r="B27" s="20"/>
      <c r="C27" s="20"/>
      <c r="D27" s="20"/>
      <c r="E27" s="20"/>
      <c r="F27" s="20"/>
      <c r="G27" s="20"/>
      <c r="H27" s="25"/>
      <c r="I27" s="25"/>
      <c r="J27" s="25"/>
    </row>
    <row r="28" spans="1:10" s="23" customFormat="1" x14ac:dyDescent="0.2"/>
    <row r="29" spans="1:10" s="22" customFormat="1" x14ac:dyDescent="0.2">
      <c r="A29" s="22" t="s">
        <v>23</v>
      </c>
      <c r="B29" s="20">
        <f t="shared" ref="B29" si="3">B22</f>
        <v>56.144868000000002</v>
      </c>
      <c r="C29" s="20"/>
      <c r="D29" s="20"/>
      <c r="E29" s="20"/>
      <c r="F29" s="20">
        <f t="shared" ref="F29" si="4">F22</f>
        <v>36.115107999999999</v>
      </c>
      <c r="G29" s="20"/>
      <c r="H29" s="20"/>
      <c r="I29" s="20"/>
      <c r="J29" s="20"/>
    </row>
    <row r="30" spans="1:10" s="11" customFormat="1" x14ac:dyDescent="0.2">
      <c r="A30" s="19" t="s">
        <v>22</v>
      </c>
      <c r="B30" s="19"/>
      <c r="C30" s="19"/>
      <c r="D30" s="19"/>
      <c r="E30" s="19"/>
      <c r="F30" s="19"/>
      <c r="G30" s="19"/>
      <c r="H30" s="19"/>
      <c r="I30" s="19"/>
      <c r="J30" s="19"/>
    </row>
    <row r="31" spans="1:10" s="11" customFormat="1" x14ac:dyDescent="0.2">
      <c r="A31" s="19" t="s">
        <v>21</v>
      </c>
      <c r="B31" s="19"/>
      <c r="C31" s="19"/>
      <c r="D31" s="19"/>
      <c r="E31" s="19"/>
      <c r="F31" s="19"/>
      <c r="G31" s="19"/>
      <c r="H31" s="19"/>
      <c r="I31" s="19"/>
      <c r="J31" s="19"/>
    </row>
    <row r="32" spans="1:10" s="11" customFormat="1" x14ac:dyDescent="0.2">
      <c r="A32" s="19" t="s">
        <v>20</v>
      </c>
      <c r="B32" s="19"/>
      <c r="C32" s="19"/>
      <c r="D32" s="19"/>
      <c r="E32" s="19"/>
      <c r="F32" s="19"/>
      <c r="G32" s="19"/>
      <c r="H32" s="19"/>
      <c r="I32" s="19"/>
      <c r="J32" s="19"/>
    </row>
    <row r="33" spans="1:10" s="11" customFormat="1" x14ac:dyDescent="0.2">
      <c r="A33" s="19" t="s">
        <v>19</v>
      </c>
      <c r="B33" s="19"/>
      <c r="C33" s="19"/>
      <c r="D33" s="19"/>
      <c r="E33" s="19"/>
      <c r="F33" s="19"/>
      <c r="G33" s="19"/>
      <c r="H33" s="19"/>
      <c r="I33" s="19"/>
      <c r="J33" s="19"/>
    </row>
    <row r="34" spans="1:10" s="11" customFormat="1" x14ac:dyDescent="0.2">
      <c r="A34" s="19" t="s">
        <v>18</v>
      </c>
      <c r="B34" s="21"/>
      <c r="C34" s="21"/>
      <c r="D34" s="21"/>
      <c r="E34" s="21"/>
      <c r="F34" s="21"/>
      <c r="G34" s="21"/>
      <c r="H34" s="21"/>
      <c r="I34" s="21"/>
      <c r="J34" s="21"/>
    </row>
    <row r="35" spans="1:10" s="20" customFormat="1" x14ac:dyDescent="0.2">
      <c r="A35" s="20" t="s">
        <v>17</v>
      </c>
      <c r="B35" s="20">
        <v>48.214604999999999</v>
      </c>
      <c r="F35" s="20">
        <v>28.619094</v>
      </c>
    </row>
    <row r="36" spans="1:10" s="11" customFormat="1" x14ac:dyDescent="0.2">
      <c r="A36" s="19" t="s">
        <v>16</v>
      </c>
      <c r="B36" s="21">
        <v>-34.682039000000003</v>
      </c>
      <c r="C36" s="21"/>
      <c r="D36" s="21"/>
      <c r="E36" s="21"/>
      <c r="F36" s="21">
        <v>-20.232652000000002</v>
      </c>
      <c r="G36" s="21"/>
      <c r="H36" s="21"/>
      <c r="I36" s="21"/>
      <c r="J36" s="21"/>
    </row>
    <row r="37" spans="1:10" s="20" customFormat="1" x14ac:dyDescent="0.2">
      <c r="A37" s="20" t="s">
        <v>15</v>
      </c>
      <c r="B37" s="20">
        <f>+B35+B36</f>
        <v>13.532565999999996</v>
      </c>
      <c r="F37" s="20">
        <f t="shared" ref="F37" si="5">+F35+F36</f>
        <v>8.3864419999999988</v>
      </c>
    </row>
    <row r="39" spans="1:10" s="16" customFormat="1" x14ac:dyDescent="0.2">
      <c r="A39" s="18" t="s">
        <v>14</v>
      </c>
      <c r="B39" s="19">
        <v>0</v>
      </c>
      <c r="C39" s="19">
        <v>0</v>
      </c>
      <c r="D39" s="19"/>
      <c r="E39" s="19"/>
      <c r="F39" s="19"/>
      <c r="G39" s="19"/>
      <c r="H39" s="19"/>
      <c r="I39" s="19"/>
      <c r="J39" s="19"/>
    </row>
    <row r="40" spans="1:10" s="16" customFormat="1" x14ac:dyDescent="0.2">
      <c r="A40" s="18" t="s">
        <v>13</v>
      </c>
      <c r="B40" s="19">
        <v>853</v>
      </c>
      <c r="C40" s="19">
        <v>853</v>
      </c>
      <c r="D40" s="19"/>
      <c r="E40" s="19"/>
      <c r="F40" s="19"/>
      <c r="G40" s="19"/>
      <c r="H40" s="19"/>
      <c r="I40" s="19"/>
      <c r="J40" s="19"/>
    </row>
    <row r="41" spans="1:10" s="16" customFormat="1" x14ac:dyDescent="0.2">
      <c r="A41" s="18" t="s">
        <v>12</v>
      </c>
      <c r="B41" s="19">
        <f>B39+B40</f>
        <v>853</v>
      </c>
      <c r="C41" s="19">
        <f>C39+C40</f>
        <v>853</v>
      </c>
      <c r="D41" s="19"/>
      <c r="E41" s="19"/>
      <c r="F41" s="19"/>
      <c r="G41" s="19"/>
      <c r="H41" s="19"/>
      <c r="I41" s="19"/>
      <c r="J41" s="19"/>
    </row>
    <row r="42" spans="1:10" s="16" customFormat="1" x14ac:dyDescent="0.2">
      <c r="A42" s="18" t="s">
        <v>11</v>
      </c>
      <c r="B42" s="17">
        <v>853</v>
      </c>
      <c r="C42" s="17">
        <v>853</v>
      </c>
      <c r="D42" s="17"/>
      <c r="E42" s="17"/>
      <c r="F42" s="17"/>
      <c r="G42" s="17"/>
      <c r="H42" s="17"/>
      <c r="I42" s="17"/>
      <c r="J42" s="17"/>
    </row>
    <row r="43" spans="1:10" x14ac:dyDescent="0.2">
      <c r="B43" s="16"/>
      <c r="C43" s="16"/>
      <c r="D43" s="16"/>
      <c r="E43" s="16"/>
    </row>
    <row r="44" spans="1:10" x14ac:dyDescent="0.2">
      <c r="A44" s="15" t="s">
        <v>10</v>
      </c>
      <c r="B44" s="27">
        <v>60</v>
      </c>
      <c r="C44" s="27">
        <v>60</v>
      </c>
      <c r="D44" s="27"/>
      <c r="E44" s="27"/>
      <c r="F44" s="27"/>
      <c r="G44" s="27"/>
      <c r="H44" s="27"/>
      <c r="I44" s="14"/>
      <c r="J44" s="14"/>
    </row>
    <row r="46" spans="1:10" x14ac:dyDescent="0.2">
      <c r="A46" s="1" t="s">
        <v>9</v>
      </c>
      <c r="B46" s="12"/>
      <c r="C46" s="12">
        <v>437.93220100000002</v>
      </c>
      <c r="D46" s="11"/>
      <c r="E46" s="11"/>
      <c r="F46" s="11"/>
      <c r="G46" s="11"/>
    </row>
    <row r="47" spans="1:10" x14ac:dyDescent="0.2">
      <c r="A47" s="1" t="s">
        <v>8</v>
      </c>
      <c r="B47" s="12">
        <v>192.9</v>
      </c>
      <c r="C47" s="12">
        <v>192.9</v>
      </c>
      <c r="D47" s="11"/>
      <c r="E47" s="11"/>
      <c r="F47" s="11"/>
      <c r="G47" s="11"/>
    </row>
    <row r="48" spans="1:10" x14ac:dyDescent="0.2">
      <c r="A48" s="1" t="s">
        <v>7</v>
      </c>
      <c r="B48" s="12"/>
      <c r="C48" s="12"/>
      <c r="D48" s="11"/>
      <c r="E48" s="11"/>
      <c r="F48" s="11"/>
      <c r="G48" s="11"/>
    </row>
    <row r="50" spans="1:10" s="10" customFormat="1" x14ac:dyDescent="0.2">
      <c r="A50" s="10" t="s">
        <v>6</v>
      </c>
      <c r="B50" s="10">
        <f>+SUM(B39:B40)/B47</f>
        <v>4.4219803006739244</v>
      </c>
      <c r="C50" s="10">
        <f>+SUM(C39:C40)/C47</f>
        <v>4.4219803006739244</v>
      </c>
    </row>
    <row r="51" spans="1:10" s="10" customFormat="1" x14ac:dyDescent="0.2">
      <c r="A51" s="10" t="s">
        <v>5</v>
      </c>
      <c r="B51" s="10">
        <f>+B41/B47</f>
        <v>4.4219803006739244</v>
      </c>
      <c r="C51" s="10">
        <f>+C41/C47</f>
        <v>4.4219803006739244</v>
      </c>
    </row>
    <row r="52" spans="1:10" s="10" customFormat="1" x14ac:dyDescent="0.2">
      <c r="A52" s="10" t="s">
        <v>4</v>
      </c>
      <c r="B52" s="10">
        <f>+(B41-B44)/B47</f>
        <v>4.1109383100051842</v>
      </c>
      <c r="C52" s="10">
        <f>+(C41-C44)/C47</f>
        <v>4.1109383100051842</v>
      </c>
    </row>
    <row r="53" spans="1:10" s="6" customFormat="1" x14ac:dyDescent="0.2">
      <c r="A53" s="6" t="s">
        <v>3</v>
      </c>
      <c r="B53" s="6">
        <f>+B48/B41</f>
        <v>0</v>
      </c>
      <c r="C53" s="6">
        <f>+C48/C41</f>
        <v>0</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8.5329186106791077</v>
      </c>
      <c r="C55" s="7">
        <f>IF(C42=0,IF(C54="","","*"&amp;TEXT(C54,"0.0x")),(C41+C42-C44)/C47)</f>
        <v>8.5329186106791077</v>
      </c>
      <c r="D55" s="7"/>
      <c r="E55" s="7"/>
      <c r="F55" s="7"/>
      <c r="G55" s="7"/>
      <c r="H55" s="7" t="str">
        <f t="shared" ref="H55:J55" si="6">IF(H42=0,IF(H54="","",CONCATENATE("* ",H54,"x")),(H41+H42-H44)/H47)</f>
        <v/>
      </c>
      <c r="I55" s="7" t="str">
        <f t="shared" si="6"/>
        <v/>
      </c>
      <c r="J55" s="7" t="str">
        <f t="shared" si="6"/>
        <v/>
      </c>
    </row>
    <row r="56" spans="1:10" x14ac:dyDescent="0.2">
      <c r="G56" s="3"/>
    </row>
    <row r="57" spans="1:10" ht="80.25" customHeight="1" x14ac:dyDescent="0.2">
      <c r="A57" s="5" t="s">
        <v>0</v>
      </c>
      <c r="B57" s="4" t="s">
        <v>235</v>
      </c>
      <c r="C57" s="4"/>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E702-8D31-4C28-9215-7EA1FF1CCC5B}">
  <dimension ref="A2:I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9" width="10.7109375" style="1" customWidth="1"/>
    <col min="10" max="16384" width="9.140625" style="1"/>
  </cols>
  <sheetData>
    <row r="2" spans="1:9" x14ac:dyDescent="0.2">
      <c r="A2" s="34" t="s">
        <v>45</v>
      </c>
      <c r="B2" s="1" t="s">
        <v>620</v>
      </c>
    </row>
    <row r="3" spans="1:9" s="35" customFormat="1" x14ac:dyDescent="0.2">
      <c r="A3" s="36" t="s">
        <v>43</v>
      </c>
      <c r="B3" s="35" t="s">
        <v>621</v>
      </c>
    </row>
    <row r="4" spans="1:9" x14ac:dyDescent="0.2">
      <c r="A4" s="34" t="s">
        <v>41</v>
      </c>
      <c r="B4" s="1" t="s">
        <v>40</v>
      </c>
    </row>
    <row r="5" spans="1:9" x14ac:dyDescent="0.2">
      <c r="A5" s="34" t="s">
        <v>39</v>
      </c>
    </row>
    <row r="6" spans="1:9" x14ac:dyDescent="0.2">
      <c r="A6" s="34" t="s">
        <v>38</v>
      </c>
      <c r="B6" s="1">
        <v>3</v>
      </c>
    </row>
    <row r="7" spans="1:9" x14ac:dyDescent="0.2">
      <c r="A7" s="34" t="s">
        <v>37</v>
      </c>
      <c r="B7" s="1" t="s">
        <v>432</v>
      </c>
    </row>
    <row r="8" spans="1:9" x14ac:dyDescent="0.2">
      <c r="A8" s="34" t="s">
        <v>281</v>
      </c>
      <c r="B8" s="1" t="s">
        <v>622</v>
      </c>
    </row>
    <row r="9" spans="1:9" x14ac:dyDescent="0.2">
      <c r="A9" s="22"/>
    </row>
    <row r="10" spans="1:9" x14ac:dyDescent="0.2">
      <c r="A10" s="22" t="s">
        <v>36</v>
      </c>
      <c r="B10" s="33">
        <v>44255</v>
      </c>
      <c r="C10" s="33">
        <f>EOMONTH(B10,-3)</f>
        <v>44165</v>
      </c>
      <c r="D10" s="33">
        <f t="shared" ref="D10:I10" si="0">EOMONTH(C10,-3)</f>
        <v>44074</v>
      </c>
      <c r="E10" s="33">
        <f t="shared" si="0"/>
        <v>43982</v>
      </c>
      <c r="F10" s="33">
        <f t="shared" si="0"/>
        <v>43890</v>
      </c>
      <c r="G10" s="33">
        <f t="shared" si="0"/>
        <v>43799</v>
      </c>
      <c r="H10" s="33">
        <f t="shared" si="0"/>
        <v>43708</v>
      </c>
      <c r="I10" s="33">
        <f t="shared" si="0"/>
        <v>43616</v>
      </c>
    </row>
    <row r="12" spans="1:9" x14ac:dyDescent="0.2">
      <c r="A12" s="15" t="s">
        <v>35</v>
      </c>
      <c r="B12" s="19">
        <v>0</v>
      </c>
      <c r="C12" s="19">
        <v>0</v>
      </c>
      <c r="D12" s="19">
        <v>0</v>
      </c>
      <c r="E12" s="19">
        <v>0</v>
      </c>
      <c r="F12" s="19">
        <v>0</v>
      </c>
      <c r="G12" s="19">
        <v>0</v>
      </c>
      <c r="H12" s="19">
        <v>0</v>
      </c>
      <c r="I12" s="19">
        <v>0</v>
      </c>
    </row>
    <row r="13" spans="1:9" s="28" customFormat="1" x14ac:dyDescent="0.2">
      <c r="A13" s="28" t="s">
        <v>34</v>
      </c>
      <c r="B13" s="28" t="e">
        <f>+B12/F12-1</f>
        <v>#DIV/0!</v>
      </c>
      <c r="C13" s="28" t="e">
        <f t="shared" ref="C13:E13" si="1">+C12/G12-1</f>
        <v>#DIV/0!</v>
      </c>
      <c r="D13" s="28" t="e">
        <f t="shared" si="1"/>
        <v>#DIV/0!</v>
      </c>
      <c r="E13" s="28" t="e">
        <f t="shared" si="1"/>
        <v>#DIV/0!</v>
      </c>
    </row>
    <row r="14" spans="1:9" s="23" customFormat="1" x14ac:dyDescent="0.2">
      <c r="A14" s="31" t="s">
        <v>33</v>
      </c>
      <c r="B14" s="32" t="s">
        <v>32</v>
      </c>
      <c r="C14" s="32" t="s">
        <v>32</v>
      </c>
      <c r="D14" s="32" t="s">
        <v>32</v>
      </c>
      <c r="E14" s="32" t="s">
        <v>32</v>
      </c>
      <c r="F14" s="31"/>
      <c r="G14" s="31"/>
      <c r="H14" s="31"/>
      <c r="I14" s="31"/>
    </row>
    <row r="16" spans="1:9" s="22" customFormat="1" x14ac:dyDescent="0.2">
      <c r="A16" s="30" t="s">
        <v>31</v>
      </c>
      <c r="B16" s="29">
        <v>0</v>
      </c>
      <c r="C16" s="29">
        <v>0</v>
      </c>
      <c r="D16" s="29">
        <v>0</v>
      </c>
      <c r="E16" s="29">
        <v>0</v>
      </c>
      <c r="F16" s="29">
        <v>0</v>
      </c>
      <c r="G16" s="29">
        <v>0</v>
      </c>
      <c r="H16" s="29">
        <v>0</v>
      </c>
      <c r="I16" s="29">
        <v>0</v>
      </c>
    </row>
    <row r="17" spans="1:9" s="28" customFormat="1" x14ac:dyDescent="0.2">
      <c r="A17" s="28" t="s">
        <v>30</v>
      </c>
      <c r="B17" s="28" t="e">
        <f>+B16/B12</f>
        <v>#DIV/0!</v>
      </c>
      <c r="C17" s="28" t="e">
        <f t="shared" ref="C17:I17" si="2">+C16/C12</f>
        <v>#DIV/0!</v>
      </c>
      <c r="D17" s="28" t="e">
        <f t="shared" si="2"/>
        <v>#DIV/0!</v>
      </c>
      <c r="E17" s="28" t="e">
        <f t="shared" si="2"/>
        <v>#DIV/0!</v>
      </c>
      <c r="F17" s="28" t="e">
        <f t="shared" si="2"/>
        <v>#DIV/0!</v>
      </c>
      <c r="G17" s="28" t="e">
        <f t="shared" si="2"/>
        <v>#DIV/0!</v>
      </c>
      <c r="H17" s="28" t="e">
        <f t="shared" si="2"/>
        <v>#DIV/0!</v>
      </c>
      <c r="I17" s="28" t="e">
        <f t="shared" si="2"/>
        <v>#DIV/0!</v>
      </c>
    </row>
    <row r="18" spans="1:9" s="23" customFormat="1" x14ac:dyDescent="0.2"/>
    <row r="19" spans="1:9" s="23" customFormat="1" x14ac:dyDescent="0.2">
      <c r="A19" s="15" t="s">
        <v>29</v>
      </c>
      <c r="B19" s="19">
        <v>0</v>
      </c>
      <c r="C19" s="19">
        <v>0</v>
      </c>
      <c r="D19" s="19">
        <v>0</v>
      </c>
      <c r="E19" s="19">
        <v>0</v>
      </c>
      <c r="F19" s="19">
        <v>0</v>
      </c>
      <c r="G19" s="19">
        <v>0</v>
      </c>
      <c r="H19" s="19">
        <v>0</v>
      </c>
      <c r="I19" s="19">
        <v>0</v>
      </c>
    </row>
    <row r="20" spans="1:9" s="23" customFormat="1" x14ac:dyDescent="0.2">
      <c r="A20" s="15" t="s">
        <v>28</v>
      </c>
      <c r="B20" s="19">
        <v>0</v>
      </c>
      <c r="C20" s="19">
        <v>0</v>
      </c>
      <c r="D20" s="19">
        <v>0</v>
      </c>
      <c r="E20" s="19">
        <v>0</v>
      </c>
      <c r="F20" s="19">
        <v>0</v>
      </c>
      <c r="G20" s="19">
        <v>0</v>
      </c>
      <c r="H20" s="19">
        <v>0</v>
      </c>
      <c r="I20" s="19">
        <v>0</v>
      </c>
    </row>
    <row r="21" spans="1:9" s="23" customFormat="1" x14ac:dyDescent="0.2">
      <c r="A21" s="15" t="s">
        <v>18</v>
      </c>
      <c r="B21" s="19">
        <v>0</v>
      </c>
      <c r="C21" s="19">
        <v>0</v>
      </c>
      <c r="D21" s="19">
        <v>0</v>
      </c>
      <c r="E21" s="19">
        <v>0</v>
      </c>
      <c r="F21" s="19">
        <v>0</v>
      </c>
      <c r="G21" s="19">
        <v>0</v>
      </c>
      <c r="H21" s="19">
        <v>0</v>
      </c>
      <c r="I21" s="19">
        <v>0</v>
      </c>
    </row>
    <row r="22" spans="1:9" s="22" customFormat="1" x14ac:dyDescent="0.2">
      <c r="A22" s="22" t="s">
        <v>23</v>
      </c>
      <c r="B22" s="20">
        <f>SUM(B16,B19:B21)</f>
        <v>0</v>
      </c>
      <c r="C22" s="20">
        <f t="shared" ref="C22:I22" si="3">SUM(C16,C19:C21)</f>
        <v>0</v>
      </c>
      <c r="D22" s="20">
        <f t="shared" si="3"/>
        <v>0</v>
      </c>
      <c r="E22" s="20">
        <f t="shared" si="3"/>
        <v>0</v>
      </c>
      <c r="F22" s="20">
        <f t="shared" si="3"/>
        <v>0</v>
      </c>
      <c r="G22" s="20">
        <f t="shared" si="3"/>
        <v>0</v>
      </c>
      <c r="H22" s="20">
        <f t="shared" si="3"/>
        <v>0</v>
      </c>
      <c r="I22" s="20">
        <f t="shared" si="3"/>
        <v>0</v>
      </c>
    </row>
    <row r="23" spans="1:9" s="22" customFormat="1" x14ac:dyDescent="0.2">
      <c r="B23" s="20"/>
      <c r="C23" s="20"/>
      <c r="D23" s="20"/>
      <c r="E23" s="20"/>
      <c r="F23" s="20"/>
      <c r="G23" s="20"/>
      <c r="H23" s="20"/>
      <c r="I23" s="20"/>
    </row>
    <row r="24" spans="1:9" s="22" customFormat="1" x14ac:dyDescent="0.2">
      <c r="A24" s="22" t="s">
        <v>27</v>
      </c>
      <c r="B24" s="20">
        <f>SUM(B22:E22)</f>
        <v>0</v>
      </c>
      <c r="C24" s="20">
        <f t="shared" ref="C24:F24" si="4">SUM(C22:F22)</f>
        <v>0</v>
      </c>
      <c r="D24" s="20">
        <f t="shared" si="4"/>
        <v>0</v>
      </c>
      <c r="E24" s="20">
        <f t="shared" si="4"/>
        <v>0</v>
      </c>
      <c r="F24" s="20">
        <f t="shared" si="4"/>
        <v>0</v>
      </c>
      <c r="G24" s="20"/>
      <c r="H24" s="20"/>
      <c r="I24" s="20"/>
    </row>
    <row r="25" spans="1:9" s="23" customFormat="1" x14ac:dyDescent="0.2">
      <c r="A25" s="15" t="s">
        <v>26</v>
      </c>
      <c r="B25" s="27">
        <v>0</v>
      </c>
      <c r="C25" s="27">
        <v>0</v>
      </c>
      <c r="D25" s="27">
        <v>0</v>
      </c>
      <c r="E25" s="27">
        <v>0</v>
      </c>
      <c r="F25" s="27">
        <v>0</v>
      </c>
      <c r="G25" s="27">
        <v>0</v>
      </c>
      <c r="H25" s="27">
        <v>0</v>
      </c>
      <c r="I25" s="27">
        <v>0</v>
      </c>
    </row>
    <row r="26" spans="1:9" s="23" customFormat="1" x14ac:dyDescent="0.2">
      <c r="A26" s="15" t="s">
        <v>25</v>
      </c>
      <c r="B26" s="21">
        <v>0</v>
      </c>
      <c r="C26" s="21">
        <v>0</v>
      </c>
      <c r="D26" s="21">
        <v>0</v>
      </c>
      <c r="E26" s="21">
        <v>0</v>
      </c>
      <c r="F26" s="21">
        <v>0</v>
      </c>
      <c r="G26" s="26"/>
      <c r="H26" s="26"/>
      <c r="I26" s="26"/>
    </row>
    <row r="27" spans="1:9" s="24" customFormat="1" x14ac:dyDescent="0.2">
      <c r="A27" s="22" t="s">
        <v>24</v>
      </c>
      <c r="B27" s="20">
        <f>SUM(B24:B26)</f>
        <v>0</v>
      </c>
      <c r="C27" s="20">
        <f t="shared" ref="C27:F27" si="5">SUM(C24:C26)</f>
        <v>0</v>
      </c>
      <c r="D27" s="20">
        <f t="shared" si="5"/>
        <v>0</v>
      </c>
      <c r="E27" s="20">
        <f t="shared" si="5"/>
        <v>0</v>
      </c>
      <c r="F27" s="20">
        <f t="shared" si="5"/>
        <v>0</v>
      </c>
      <c r="G27" s="25"/>
      <c r="H27" s="25"/>
      <c r="I27" s="25"/>
    </row>
    <row r="28" spans="1:9" s="23" customFormat="1" x14ac:dyDescent="0.2"/>
    <row r="29" spans="1:9" s="22" customFormat="1" x14ac:dyDescent="0.2">
      <c r="A29" s="22" t="s">
        <v>23</v>
      </c>
      <c r="B29" s="20">
        <f t="shared" ref="B29:I29" si="6">B22</f>
        <v>0</v>
      </c>
      <c r="C29" s="20">
        <f t="shared" si="6"/>
        <v>0</v>
      </c>
      <c r="D29" s="20">
        <f t="shared" si="6"/>
        <v>0</v>
      </c>
      <c r="E29" s="20">
        <f t="shared" si="6"/>
        <v>0</v>
      </c>
      <c r="F29" s="20">
        <f t="shared" si="6"/>
        <v>0</v>
      </c>
      <c r="G29" s="20">
        <f t="shared" si="6"/>
        <v>0</v>
      </c>
      <c r="H29" s="20">
        <f t="shared" si="6"/>
        <v>0</v>
      </c>
      <c r="I29" s="20">
        <f t="shared" si="6"/>
        <v>0</v>
      </c>
    </row>
    <row r="30" spans="1:9" s="11" customFormat="1" x14ac:dyDescent="0.2">
      <c r="A30" s="19" t="s">
        <v>22</v>
      </c>
      <c r="B30" s="19">
        <v>0</v>
      </c>
      <c r="C30" s="19">
        <v>0</v>
      </c>
      <c r="D30" s="19">
        <v>0</v>
      </c>
      <c r="E30" s="19">
        <v>0</v>
      </c>
      <c r="F30" s="19">
        <v>0</v>
      </c>
      <c r="G30" s="19">
        <v>0</v>
      </c>
      <c r="H30" s="19">
        <v>0</v>
      </c>
      <c r="I30" s="19">
        <v>0</v>
      </c>
    </row>
    <row r="31" spans="1:9" s="11" customFormat="1" x14ac:dyDescent="0.2">
      <c r="A31" s="19" t="s">
        <v>21</v>
      </c>
      <c r="B31" s="19">
        <v>0</v>
      </c>
      <c r="C31" s="19">
        <v>0</v>
      </c>
      <c r="D31" s="19">
        <v>0</v>
      </c>
      <c r="E31" s="19">
        <v>0</v>
      </c>
      <c r="F31" s="19">
        <v>0</v>
      </c>
      <c r="G31" s="19">
        <v>0</v>
      </c>
      <c r="H31" s="19">
        <v>0</v>
      </c>
      <c r="I31" s="19">
        <v>0</v>
      </c>
    </row>
    <row r="32" spans="1:9" s="11" customFormat="1" x14ac:dyDescent="0.2">
      <c r="A32" s="19" t="s">
        <v>20</v>
      </c>
      <c r="B32" s="19">
        <v>0</v>
      </c>
      <c r="C32" s="19">
        <v>0</v>
      </c>
      <c r="D32" s="19">
        <v>0</v>
      </c>
      <c r="E32" s="19">
        <v>0</v>
      </c>
      <c r="F32" s="19">
        <v>0</v>
      </c>
      <c r="G32" s="19">
        <v>0</v>
      </c>
      <c r="H32" s="19">
        <v>0</v>
      </c>
      <c r="I32" s="19">
        <v>0</v>
      </c>
    </row>
    <row r="33" spans="1:9" s="11" customFormat="1" x14ac:dyDescent="0.2">
      <c r="A33" s="19" t="s">
        <v>19</v>
      </c>
      <c r="B33" s="19">
        <v>0</v>
      </c>
      <c r="C33" s="19">
        <v>0</v>
      </c>
      <c r="D33" s="19">
        <v>0</v>
      </c>
      <c r="E33" s="19">
        <v>0</v>
      </c>
      <c r="F33" s="19">
        <v>0</v>
      </c>
      <c r="G33" s="19">
        <v>0</v>
      </c>
      <c r="H33" s="19">
        <v>0</v>
      </c>
      <c r="I33" s="19">
        <v>0</v>
      </c>
    </row>
    <row r="34" spans="1:9" s="11" customFormat="1" x14ac:dyDescent="0.2">
      <c r="A34" s="19" t="s">
        <v>18</v>
      </c>
      <c r="B34" s="21">
        <v>0</v>
      </c>
      <c r="C34" s="21">
        <v>0</v>
      </c>
      <c r="D34" s="21">
        <v>0</v>
      </c>
      <c r="E34" s="21">
        <v>0</v>
      </c>
      <c r="F34" s="21">
        <v>0</v>
      </c>
      <c r="G34" s="21">
        <v>0</v>
      </c>
      <c r="H34" s="21">
        <v>0</v>
      </c>
      <c r="I34" s="21">
        <v>0</v>
      </c>
    </row>
    <row r="35" spans="1:9" s="20" customFormat="1" x14ac:dyDescent="0.2">
      <c r="A35" s="20" t="s">
        <v>17</v>
      </c>
      <c r="B35" s="20">
        <v>0</v>
      </c>
      <c r="C35" s="20">
        <v>0</v>
      </c>
      <c r="D35" s="20">
        <v>0</v>
      </c>
      <c r="E35" s="20">
        <v>0</v>
      </c>
      <c r="F35" s="20">
        <v>0</v>
      </c>
      <c r="G35" s="20">
        <v>0</v>
      </c>
      <c r="H35" s="20">
        <v>0</v>
      </c>
      <c r="I35" s="20">
        <v>0</v>
      </c>
    </row>
    <row r="36" spans="1:9" s="11" customFormat="1" x14ac:dyDescent="0.2">
      <c r="A36" s="19" t="s">
        <v>16</v>
      </c>
      <c r="B36" s="21">
        <v>0</v>
      </c>
      <c r="C36" s="21">
        <v>0</v>
      </c>
      <c r="D36" s="21">
        <v>0</v>
      </c>
      <c r="E36" s="21">
        <v>0</v>
      </c>
      <c r="F36" s="21">
        <v>0</v>
      </c>
      <c r="G36" s="21">
        <v>0</v>
      </c>
      <c r="H36" s="21">
        <v>0</v>
      </c>
      <c r="I36" s="21">
        <v>0</v>
      </c>
    </row>
    <row r="37" spans="1:9" s="20" customFormat="1" x14ac:dyDescent="0.2">
      <c r="A37" s="20" t="s">
        <v>15</v>
      </c>
      <c r="B37" s="20">
        <f>+B35+B36</f>
        <v>0</v>
      </c>
      <c r="C37" s="20">
        <f t="shared" ref="C37:I37" si="7">+C35+C36</f>
        <v>0</v>
      </c>
      <c r="D37" s="20">
        <f t="shared" si="7"/>
        <v>0</v>
      </c>
      <c r="E37" s="20">
        <f t="shared" si="7"/>
        <v>0</v>
      </c>
      <c r="F37" s="20">
        <f t="shared" si="7"/>
        <v>0</v>
      </c>
      <c r="G37" s="20">
        <f t="shared" si="7"/>
        <v>0</v>
      </c>
      <c r="H37" s="20">
        <f t="shared" si="7"/>
        <v>0</v>
      </c>
      <c r="I37" s="20">
        <f t="shared" si="7"/>
        <v>0</v>
      </c>
    </row>
    <row r="39" spans="1:9" s="16" customFormat="1" x14ac:dyDescent="0.2">
      <c r="A39" s="18" t="s">
        <v>14</v>
      </c>
      <c r="B39" s="19">
        <v>0</v>
      </c>
      <c r="C39" s="19"/>
      <c r="D39" s="19"/>
      <c r="E39" s="19"/>
      <c r="F39" s="19"/>
      <c r="G39" s="19"/>
      <c r="H39" s="19"/>
      <c r="I39" s="19"/>
    </row>
    <row r="40" spans="1:9" s="16" customFormat="1" x14ac:dyDescent="0.2">
      <c r="A40" s="18" t="s">
        <v>13</v>
      </c>
      <c r="B40" s="19">
        <v>425</v>
      </c>
      <c r="C40" s="19"/>
      <c r="D40" s="19"/>
      <c r="E40" s="19"/>
      <c r="F40" s="19"/>
      <c r="G40" s="19"/>
      <c r="H40" s="19"/>
      <c r="I40" s="19"/>
    </row>
    <row r="41" spans="1:9" s="16" customFormat="1" x14ac:dyDescent="0.2">
      <c r="A41" s="18" t="s">
        <v>12</v>
      </c>
      <c r="B41" s="19">
        <f>B39+B40</f>
        <v>425</v>
      </c>
      <c r="C41" s="19"/>
      <c r="D41" s="19"/>
      <c r="E41" s="19"/>
      <c r="F41" s="19"/>
      <c r="G41" s="19"/>
      <c r="H41" s="19"/>
      <c r="I41" s="19"/>
    </row>
    <row r="42" spans="1:9" s="16" customFormat="1" x14ac:dyDescent="0.2">
      <c r="A42" s="18" t="s">
        <v>11</v>
      </c>
      <c r="B42" s="17">
        <v>0</v>
      </c>
      <c r="C42" s="17"/>
      <c r="D42" s="17"/>
      <c r="E42" s="17"/>
      <c r="F42" s="17"/>
      <c r="G42" s="17"/>
      <c r="H42" s="17"/>
      <c r="I42" s="17"/>
    </row>
    <row r="43" spans="1:9" x14ac:dyDescent="0.2">
      <c r="B43" s="16"/>
      <c r="C43" s="16"/>
      <c r="D43" s="16"/>
    </row>
    <row r="44" spans="1:9" x14ac:dyDescent="0.2">
      <c r="A44" s="15" t="s">
        <v>10</v>
      </c>
      <c r="B44" s="27">
        <v>8</v>
      </c>
      <c r="C44" s="27"/>
      <c r="D44" s="27"/>
      <c r="E44" s="27"/>
      <c r="F44" s="27"/>
      <c r="G44" s="27"/>
      <c r="H44" s="14"/>
      <c r="I44" s="14"/>
    </row>
    <row r="46" spans="1:9" x14ac:dyDescent="0.2">
      <c r="A46" s="1" t="s">
        <v>9</v>
      </c>
      <c r="B46" s="12">
        <v>361</v>
      </c>
      <c r="C46" s="11"/>
      <c r="D46" s="11"/>
      <c r="E46" s="11"/>
      <c r="F46" s="11"/>
    </row>
    <row r="47" spans="1:9" x14ac:dyDescent="0.2">
      <c r="A47" s="1" t="s">
        <v>8</v>
      </c>
      <c r="B47" s="12">
        <v>82.8</v>
      </c>
      <c r="C47" s="11"/>
      <c r="D47" s="11"/>
      <c r="E47" s="11"/>
      <c r="F47" s="11"/>
    </row>
    <row r="48" spans="1:9" x14ac:dyDescent="0.2">
      <c r="A48" s="1" t="s">
        <v>7</v>
      </c>
      <c r="B48" s="12"/>
      <c r="C48" s="11"/>
      <c r="D48" s="11"/>
      <c r="E48" s="11"/>
      <c r="F48" s="11"/>
    </row>
    <row r="50" spans="1:9" s="10" customFormat="1" x14ac:dyDescent="0.2">
      <c r="A50" s="10" t="s">
        <v>6</v>
      </c>
      <c r="B50" s="10">
        <f>+SUM(B39:B40)/B47</f>
        <v>5.1328502415458939</v>
      </c>
    </row>
    <row r="51" spans="1:9" s="10" customFormat="1" x14ac:dyDescent="0.2">
      <c r="A51" s="10" t="s">
        <v>5</v>
      </c>
      <c r="B51" s="10">
        <f>+B41/B47</f>
        <v>5.1328502415458939</v>
      </c>
    </row>
    <row r="52" spans="1:9" s="10" customFormat="1" x14ac:dyDescent="0.2">
      <c r="A52" s="10" t="s">
        <v>4</v>
      </c>
      <c r="B52" s="10">
        <f>+(B41-B44)/B47</f>
        <v>5.0362318840579716</v>
      </c>
    </row>
    <row r="53" spans="1:9" s="6" customFormat="1" x14ac:dyDescent="0.2">
      <c r="A53" s="6" t="s">
        <v>3</v>
      </c>
      <c r="B53" s="6">
        <f>+B48/B41</f>
        <v>0</v>
      </c>
    </row>
    <row r="54" spans="1:9" s="6" customFormat="1" x14ac:dyDescent="0.2">
      <c r="A54" s="8" t="s">
        <v>2</v>
      </c>
      <c r="B54" s="9"/>
      <c r="C54" s="9"/>
      <c r="D54" s="9"/>
      <c r="E54" s="9"/>
      <c r="F54" s="9"/>
      <c r="G54" s="8"/>
      <c r="H54" s="8"/>
      <c r="I54" s="8"/>
    </row>
    <row r="55" spans="1:9" s="6" customFormat="1" x14ac:dyDescent="0.2">
      <c r="A55" s="6" t="s">
        <v>1</v>
      </c>
      <c r="B55" s="7" t="str">
        <f>IF(B42=0,IF(B54="","","*"&amp;TEXT(B54,"0.0x")),(B41+B42-B44)/B47)</f>
        <v/>
      </c>
      <c r="C55" s="7"/>
      <c r="D55" s="7"/>
      <c r="E55" s="7"/>
      <c r="F55" s="7"/>
      <c r="G55" s="7"/>
      <c r="H55" s="7" t="str">
        <f t="shared" ref="H55:I55" si="8">IF(H42=0,IF(H54="","",CONCATENATE("* ",H54,"x")),(H41+H42-H44)/H47)</f>
        <v/>
      </c>
      <c r="I55" s="7" t="str">
        <f t="shared" si="8"/>
        <v/>
      </c>
    </row>
    <row r="56" spans="1:9" x14ac:dyDescent="0.2">
      <c r="F56" s="3"/>
    </row>
    <row r="57" spans="1:9" ht="80.25" customHeight="1" x14ac:dyDescent="0.2">
      <c r="A57" s="5" t="s">
        <v>0</v>
      </c>
      <c r="B57" s="4" t="s">
        <v>104</v>
      </c>
      <c r="C57" s="4"/>
      <c r="D57" s="4"/>
      <c r="E57" s="4"/>
      <c r="F57" s="4"/>
      <c r="G57" s="4"/>
      <c r="H57" s="4"/>
      <c r="I57" s="4"/>
    </row>
    <row r="58" spans="1:9" x14ac:dyDescent="0.2">
      <c r="A58" s="2"/>
      <c r="B58" s="3"/>
    </row>
    <row r="59" spans="1:9" x14ac:dyDescent="0.2">
      <c r="A59" s="2"/>
    </row>
  </sheetData>
  <pageMargins left="0.7" right="0.7" top="0.75" bottom="0.75" header="0.3" footer="0.3"/>
  <pageSetup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268E-5E2B-4A6B-A411-B5C0617B4326}">
  <dimension ref="A2:J59"/>
  <sheetViews>
    <sheetView showGridLines="0" zoomScaleNormal="100" workbookViewId="0">
      <pane xSplit="1" ySplit="10" topLeftCell="B11" activePane="bottomRight" state="frozen"/>
      <selection activeCell="T45" sqref="T45"/>
      <selection pane="topRight" activeCell="T45" sqref="T45"/>
      <selection pane="bottomLeft" activeCell="T45" sqref="T45"/>
      <selection pane="bottomRight" activeCell="B11" sqref="B11"/>
    </sheetView>
  </sheetViews>
  <sheetFormatPr defaultRowHeight="12.75" x14ac:dyDescent="0.2"/>
  <cols>
    <col min="1" max="1" width="22.7109375" style="1" customWidth="1"/>
    <col min="2" max="10" width="10.7109375" style="1" customWidth="1"/>
    <col min="11" max="16384" width="9.140625" style="1"/>
  </cols>
  <sheetData>
    <row r="2" spans="1:10" x14ac:dyDescent="0.2">
      <c r="A2" s="34" t="s">
        <v>45</v>
      </c>
      <c r="B2" s="1" t="s">
        <v>623</v>
      </c>
    </row>
    <row r="3" spans="1:10" s="35" customFormat="1" x14ac:dyDescent="0.2">
      <c r="A3" s="36" t="s">
        <v>43</v>
      </c>
      <c r="B3" s="35" t="s">
        <v>625</v>
      </c>
    </row>
    <row r="4" spans="1:10" x14ac:dyDescent="0.2">
      <c r="A4" s="34" t="s">
        <v>41</v>
      </c>
      <c r="B4" s="1" t="s">
        <v>40</v>
      </c>
    </row>
    <row r="5" spans="1:10" x14ac:dyDescent="0.2">
      <c r="A5" s="34" t="s">
        <v>39</v>
      </c>
    </row>
    <row r="6" spans="1:10" x14ac:dyDescent="0.2">
      <c r="A6" s="34" t="s">
        <v>38</v>
      </c>
      <c r="B6" s="1">
        <v>3</v>
      </c>
    </row>
    <row r="7" spans="1:10" x14ac:dyDescent="0.2">
      <c r="A7" s="34" t="s">
        <v>37</v>
      </c>
      <c r="B7" s="1" t="s">
        <v>399</v>
      </c>
    </row>
    <row r="8" spans="1:10" x14ac:dyDescent="0.2">
      <c r="A8" s="34" t="s">
        <v>281</v>
      </c>
      <c r="B8" s="1" t="s">
        <v>624</v>
      </c>
    </row>
    <row r="9" spans="1:10" x14ac:dyDescent="0.2">
      <c r="A9" s="22"/>
    </row>
    <row r="10" spans="1:10" x14ac:dyDescent="0.2">
      <c r="A10" s="22" t="s">
        <v>36</v>
      </c>
      <c r="B10" s="33">
        <v>44377</v>
      </c>
      <c r="C10" s="33">
        <v>44286</v>
      </c>
      <c r="D10" s="33">
        <f>EOMONTH(C10,-3)</f>
        <v>44196</v>
      </c>
      <c r="E10" s="33">
        <f t="shared" ref="E10:J10" si="0">EOMONTH(D10,-3)</f>
        <v>44104</v>
      </c>
      <c r="F10" s="33">
        <f t="shared" si="0"/>
        <v>44012</v>
      </c>
      <c r="G10" s="33">
        <f t="shared" si="0"/>
        <v>43921</v>
      </c>
      <c r="H10" s="33">
        <f t="shared" si="0"/>
        <v>43830</v>
      </c>
      <c r="I10" s="33">
        <f t="shared" si="0"/>
        <v>43738</v>
      </c>
      <c r="J10" s="33">
        <f t="shared" si="0"/>
        <v>43646</v>
      </c>
    </row>
    <row r="12" spans="1:10" x14ac:dyDescent="0.2">
      <c r="A12" s="15" t="s">
        <v>35</v>
      </c>
      <c r="B12" s="19">
        <v>89.112000000000009</v>
      </c>
      <c r="C12" s="19">
        <v>90.795999999999992</v>
      </c>
      <c r="D12" s="19"/>
      <c r="E12" s="19"/>
      <c r="F12" s="19">
        <v>65.950999999999993</v>
      </c>
      <c r="G12" s="19">
        <v>71.789000000000001</v>
      </c>
      <c r="H12" s="19"/>
      <c r="I12" s="19"/>
      <c r="J12" s="19"/>
    </row>
    <row r="13" spans="1:10" s="28" customFormat="1" x14ac:dyDescent="0.2">
      <c r="A13" s="28" t="s">
        <v>34</v>
      </c>
      <c r="B13" s="28">
        <f>+B12/F12-1</f>
        <v>0.35118497066003584</v>
      </c>
      <c r="C13" s="28">
        <f>+C12/G12-1</f>
        <v>0.26476201089303353</v>
      </c>
    </row>
    <row r="14" spans="1:10" s="23" customFormat="1" x14ac:dyDescent="0.2">
      <c r="A14" s="31" t="s">
        <v>33</v>
      </c>
      <c r="B14" s="32" t="s">
        <v>32</v>
      </c>
      <c r="C14" s="32" t="s">
        <v>32</v>
      </c>
      <c r="D14" s="32"/>
      <c r="E14" s="32"/>
      <c r="F14" s="32"/>
      <c r="G14" s="31"/>
      <c r="H14" s="31"/>
      <c r="I14" s="31"/>
      <c r="J14" s="31"/>
    </row>
    <row r="16" spans="1:10" s="22" customFormat="1" x14ac:dyDescent="0.2">
      <c r="A16" s="30" t="s">
        <v>31</v>
      </c>
      <c r="B16" s="29">
        <v>14.143000000000001</v>
      </c>
      <c r="C16" s="29">
        <v>17.254000000000001</v>
      </c>
      <c r="D16" s="29"/>
      <c r="E16" s="29"/>
      <c r="F16" s="29">
        <v>11.048</v>
      </c>
      <c r="G16" s="29">
        <v>10.044</v>
      </c>
      <c r="H16" s="29"/>
      <c r="I16" s="29"/>
      <c r="J16" s="29"/>
    </row>
    <row r="17" spans="1:10" s="28" customFormat="1" x14ac:dyDescent="0.2">
      <c r="A17" s="28" t="s">
        <v>30</v>
      </c>
      <c r="B17" s="28">
        <f>+B16/B12</f>
        <v>0.15871038692880868</v>
      </c>
      <c r="C17" s="28">
        <f>+C16/C12</f>
        <v>0.19003039781488174</v>
      </c>
      <c r="F17" s="28">
        <f t="shared" ref="F17:G17" si="1">+F16/F12</f>
        <v>0.1675183090476263</v>
      </c>
      <c r="G17" s="28">
        <f t="shared" si="1"/>
        <v>0.1399100140690078</v>
      </c>
    </row>
    <row r="18" spans="1:10" s="23" customFormat="1" x14ac:dyDescent="0.2"/>
    <row r="19" spans="1:10" s="23" customFormat="1" x14ac:dyDescent="0.2">
      <c r="A19" s="15" t="s">
        <v>29</v>
      </c>
      <c r="B19" s="19">
        <v>0</v>
      </c>
      <c r="C19" s="19">
        <v>0</v>
      </c>
      <c r="D19" s="19"/>
      <c r="E19" s="19"/>
      <c r="F19" s="19">
        <v>0</v>
      </c>
      <c r="G19" s="19">
        <v>0</v>
      </c>
      <c r="H19" s="19"/>
      <c r="I19" s="19"/>
      <c r="J19" s="19"/>
    </row>
    <row r="20" spans="1:10" s="23" customFormat="1" x14ac:dyDescent="0.2">
      <c r="A20" s="15" t="s">
        <v>28</v>
      </c>
      <c r="B20" s="19">
        <v>0</v>
      </c>
      <c r="C20" s="19">
        <v>0</v>
      </c>
      <c r="D20" s="19"/>
      <c r="E20" s="19"/>
      <c r="F20" s="19">
        <v>0</v>
      </c>
      <c r="G20" s="19">
        <v>0</v>
      </c>
      <c r="H20" s="19"/>
      <c r="I20" s="19"/>
      <c r="J20" s="19"/>
    </row>
    <row r="21" spans="1:10" s="23" customFormat="1" x14ac:dyDescent="0.2">
      <c r="A21" s="15" t="s">
        <v>18</v>
      </c>
      <c r="B21" s="19">
        <v>0</v>
      </c>
      <c r="C21" s="19">
        <v>0</v>
      </c>
      <c r="D21" s="19"/>
      <c r="E21" s="19"/>
      <c r="F21" s="19">
        <v>0</v>
      </c>
      <c r="G21" s="19">
        <v>0</v>
      </c>
      <c r="H21" s="19"/>
      <c r="I21" s="19"/>
      <c r="J21" s="19"/>
    </row>
    <row r="22" spans="1:10" s="22" customFormat="1" x14ac:dyDescent="0.2">
      <c r="A22" s="22" t="s">
        <v>23</v>
      </c>
      <c r="B22" s="20">
        <f>SUM(B16,B19:B21)</f>
        <v>14.143000000000001</v>
      </c>
      <c r="C22" s="20">
        <f>SUM(C16,C19:C21)</f>
        <v>17.254000000000001</v>
      </c>
      <c r="D22" s="20"/>
      <c r="E22" s="20"/>
      <c r="F22" s="20">
        <f t="shared" ref="F22:G22" si="2">SUM(F16,F19:F21)</f>
        <v>11.048</v>
      </c>
      <c r="G22" s="20">
        <f t="shared" si="2"/>
        <v>10.044</v>
      </c>
      <c r="H22" s="20"/>
      <c r="I22" s="20"/>
      <c r="J22" s="20"/>
    </row>
    <row r="23" spans="1:10" s="22" customFormat="1" x14ac:dyDescent="0.2">
      <c r="B23" s="20"/>
      <c r="C23" s="20"/>
      <c r="D23" s="20"/>
      <c r="E23" s="20"/>
      <c r="F23" s="20"/>
      <c r="G23" s="20"/>
      <c r="H23" s="20"/>
      <c r="I23" s="20"/>
      <c r="J23" s="20"/>
    </row>
    <row r="24" spans="1:10" s="22" customFormat="1" x14ac:dyDescent="0.2">
      <c r="A24" s="22" t="s">
        <v>27</v>
      </c>
      <c r="B24" s="61">
        <v>61.9</v>
      </c>
      <c r="C24" s="20"/>
      <c r="D24" s="20"/>
      <c r="E24" s="20"/>
      <c r="F24" s="20"/>
      <c r="G24" s="20"/>
      <c r="H24" s="20"/>
      <c r="I24" s="20"/>
      <c r="J24" s="20"/>
    </row>
    <row r="25" spans="1:10" s="23" customFormat="1" x14ac:dyDescent="0.2">
      <c r="A25" s="15" t="s">
        <v>26</v>
      </c>
      <c r="B25" s="27">
        <v>0</v>
      </c>
      <c r="C25" s="27"/>
      <c r="D25" s="27"/>
      <c r="E25" s="27"/>
      <c r="F25" s="27"/>
      <c r="G25" s="27"/>
      <c r="H25" s="27"/>
      <c r="I25" s="27"/>
      <c r="J25" s="27"/>
    </row>
    <row r="26" spans="1:10" s="23" customFormat="1" x14ac:dyDescent="0.2">
      <c r="A26" s="15" t="s">
        <v>25</v>
      </c>
      <c r="B26" s="21">
        <v>0</v>
      </c>
      <c r="C26" s="21"/>
      <c r="D26" s="21"/>
      <c r="E26" s="21"/>
      <c r="F26" s="21"/>
      <c r="G26" s="21"/>
      <c r="H26" s="26"/>
      <c r="I26" s="26"/>
      <c r="J26" s="26"/>
    </row>
    <row r="27" spans="1:10" s="24" customFormat="1" x14ac:dyDescent="0.2">
      <c r="A27" s="22" t="s">
        <v>24</v>
      </c>
      <c r="B27" s="20">
        <f>SUM(B24:B26)</f>
        <v>61.9</v>
      </c>
      <c r="C27" s="20"/>
      <c r="D27" s="20"/>
      <c r="E27" s="20"/>
      <c r="F27" s="20"/>
      <c r="G27" s="20"/>
      <c r="H27" s="25"/>
      <c r="I27" s="25"/>
      <c r="J27" s="25"/>
    </row>
    <row r="28" spans="1:10" s="23" customFormat="1" x14ac:dyDescent="0.2"/>
    <row r="29" spans="1:10" s="22" customFormat="1" x14ac:dyDescent="0.2">
      <c r="A29" s="22" t="s">
        <v>23</v>
      </c>
      <c r="B29" s="20">
        <f t="shared" ref="B29" si="3">B22</f>
        <v>14.143000000000001</v>
      </c>
      <c r="C29" s="20">
        <f t="shared" ref="C29:G29" si="4">C22</f>
        <v>17.254000000000001</v>
      </c>
      <c r="D29" s="20"/>
      <c r="E29" s="20"/>
      <c r="F29" s="20">
        <f t="shared" si="4"/>
        <v>11.048</v>
      </c>
      <c r="G29" s="20">
        <f t="shared" si="4"/>
        <v>10.044</v>
      </c>
      <c r="H29" s="20"/>
      <c r="I29" s="20"/>
      <c r="J29" s="20"/>
    </row>
    <row r="30" spans="1:10" s="11" customFormat="1" x14ac:dyDescent="0.2">
      <c r="A30" s="19" t="s">
        <v>22</v>
      </c>
      <c r="B30" s="19">
        <v>-5.2119999999999997</v>
      </c>
      <c r="C30" s="19">
        <v>-2.778</v>
      </c>
      <c r="D30" s="19"/>
      <c r="E30" s="19"/>
      <c r="F30" s="19">
        <v>-2.59</v>
      </c>
      <c r="G30" s="19">
        <v>-2.581</v>
      </c>
      <c r="H30" s="19"/>
      <c r="I30" s="19"/>
      <c r="J30" s="19"/>
    </row>
    <row r="31" spans="1:10" s="11" customFormat="1" x14ac:dyDescent="0.2">
      <c r="A31" s="19" t="s">
        <v>21</v>
      </c>
      <c r="B31" s="19">
        <v>0</v>
      </c>
      <c r="C31" s="19">
        <v>0</v>
      </c>
      <c r="D31" s="19"/>
      <c r="E31" s="19"/>
      <c r="F31" s="19">
        <v>0</v>
      </c>
      <c r="G31" s="19">
        <v>0</v>
      </c>
      <c r="H31" s="19"/>
      <c r="I31" s="19"/>
      <c r="J31" s="19"/>
    </row>
    <row r="32" spans="1:10" s="11" customFormat="1" x14ac:dyDescent="0.2">
      <c r="A32" s="19" t="s">
        <v>20</v>
      </c>
      <c r="B32" s="19">
        <v>15.669</v>
      </c>
      <c r="C32" s="19">
        <v>-5.3369999999999997</v>
      </c>
      <c r="D32" s="19"/>
      <c r="E32" s="19"/>
      <c r="F32" s="19">
        <v>0.27800000000000002</v>
      </c>
      <c r="G32" s="19">
        <v>-4.1079999999999997</v>
      </c>
      <c r="H32" s="19"/>
      <c r="I32" s="19"/>
      <c r="J32" s="19"/>
    </row>
    <row r="33" spans="1:10" s="11" customFormat="1" x14ac:dyDescent="0.2">
      <c r="A33" s="19" t="s">
        <v>19</v>
      </c>
      <c r="B33" s="19">
        <v>0</v>
      </c>
      <c r="C33" s="19">
        <v>0</v>
      </c>
      <c r="D33" s="19"/>
      <c r="E33" s="19"/>
      <c r="F33" s="19">
        <v>0</v>
      </c>
      <c r="G33" s="19">
        <v>0</v>
      </c>
      <c r="H33" s="19"/>
      <c r="I33" s="19"/>
      <c r="J33" s="19"/>
    </row>
    <row r="34" spans="1:10" s="11" customFormat="1" x14ac:dyDescent="0.2">
      <c r="A34" s="19" t="s">
        <v>18</v>
      </c>
      <c r="B34" s="21">
        <v>0</v>
      </c>
      <c r="C34" s="21">
        <v>0</v>
      </c>
      <c r="D34" s="21"/>
      <c r="E34" s="21"/>
      <c r="F34" s="21">
        <v>0</v>
      </c>
      <c r="G34" s="21">
        <v>0</v>
      </c>
      <c r="H34" s="21"/>
      <c r="I34" s="21"/>
      <c r="J34" s="21"/>
    </row>
    <row r="35" spans="1:10" s="20" customFormat="1" x14ac:dyDescent="0.2">
      <c r="A35" s="20" t="s">
        <v>17</v>
      </c>
      <c r="B35" s="20">
        <v>11.844000000000001</v>
      </c>
      <c r="C35" s="20">
        <v>7.3809999999999985</v>
      </c>
      <c r="F35" s="20">
        <v>6.4779999999999998</v>
      </c>
      <c r="G35" s="20">
        <v>0.86399999999999999</v>
      </c>
    </row>
    <row r="36" spans="1:10" s="11" customFormat="1" x14ac:dyDescent="0.2">
      <c r="A36" s="19" t="s">
        <v>16</v>
      </c>
      <c r="B36" s="21">
        <v>-4.1970000000000001</v>
      </c>
      <c r="C36" s="21">
        <v>-3.585</v>
      </c>
      <c r="D36" s="21"/>
      <c r="E36" s="21"/>
      <c r="F36" s="21">
        <v>-6.96</v>
      </c>
      <c r="G36" s="21">
        <v>-5.6609999999999996</v>
      </c>
      <c r="H36" s="21"/>
      <c r="I36" s="21"/>
      <c r="J36" s="21"/>
    </row>
    <row r="37" spans="1:10" s="20" customFormat="1" x14ac:dyDescent="0.2">
      <c r="A37" s="20" t="s">
        <v>15</v>
      </c>
      <c r="B37" s="20">
        <f>+B35+B36</f>
        <v>7.6470000000000011</v>
      </c>
      <c r="C37" s="20">
        <f>+C35+C36</f>
        <v>3.7959999999999985</v>
      </c>
      <c r="F37" s="20">
        <f t="shared" ref="F37:G37" si="5">+F35+F36</f>
        <v>-0.48200000000000021</v>
      </c>
      <c r="G37" s="20">
        <f t="shared" si="5"/>
        <v>-4.7969999999999997</v>
      </c>
    </row>
    <row r="39" spans="1:10" s="16" customFormat="1" x14ac:dyDescent="0.2">
      <c r="A39" s="18" t="s">
        <v>14</v>
      </c>
      <c r="B39" s="19">
        <v>0</v>
      </c>
      <c r="C39" s="19">
        <v>0</v>
      </c>
      <c r="D39" s="19"/>
      <c r="E39" s="19"/>
      <c r="F39" s="19"/>
      <c r="G39" s="19"/>
      <c r="H39" s="19"/>
      <c r="I39" s="19"/>
      <c r="J39" s="19"/>
    </row>
    <row r="40" spans="1:10" s="16" customFormat="1" x14ac:dyDescent="0.2">
      <c r="A40" s="18" t="s">
        <v>13</v>
      </c>
      <c r="B40" s="19">
        <v>231.5</v>
      </c>
      <c r="C40" s="19">
        <v>221.5</v>
      </c>
      <c r="D40" s="19"/>
      <c r="E40" s="19"/>
      <c r="F40" s="19"/>
      <c r="G40" s="19"/>
      <c r="H40" s="19"/>
      <c r="I40" s="19"/>
      <c r="J40" s="19"/>
    </row>
    <row r="41" spans="1:10" s="16" customFormat="1" x14ac:dyDescent="0.2">
      <c r="A41" s="18" t="s">
        <v>12</v>
      </c>
      <c r="B41" s="19">
        <f>B39+B40</f>
        <v>231.5</v>
      </c>
      <c r="C41" s="19">
        <f>C39+C40</f>
        <v>221.5</v>
      </c>
      <c r="D41" s="19"/>
      <c r="E41" s="19"/>
      <c r="F41" s="19"/>
      <c r="G41" s="19"/>
      <c r="H41" s="19"/>
      <c r="I41" s="19"/>
      <c r="J41" s="19"/>
    </row>
    <row r="42" spans="1:10" s="16" customFormat="1" x14ac:dyDescent="0.2">
      <c r="A42" s="18" t="s">
        <v>11</v>
      </c>
      <c r="B42" s="17">
        <v>217.3</v>
      </c>
      <c r="C42" s="17">
        <v>217.3</v>
      </c>
      <c r="D42" s="17"/>
      <c r="E42" s="17"/>
      <c r="F42" s="17"/>
      <c r="G42" s="17"/>
      <c r="H42" s="17"/>
      <c r="I42" s="17"/>
      <c r="J42" s="17"/>
    </row>
    <row r="43" spans="1:10" x14ac:dyDescent="0.2">
      <c r="B43" s="16"/>
      <c r="C43" s="16"/>
      <c r="D43" s="16"/>
      <c r="E43" s="16"/>
    </row>
    <row r="44" spans="1:10" x14ac:dyDescent="0.2">
      <c r="A44" s="15" t="s">
        <v>10</v>
      </c>
      <c r="B44" s="27">
        <v>14.433999999999999</v>
      </c>
      <c r="C44" s="27">
        <v>6.7</v>
      </c>
      <c r="D44" s="27"/>
      <c r="E44" s="27"/>
      <c r="F44" s="27"/>
      <c r="G44" s="27"/>
      <c r="H44" s="27"/>
      <c r="I44" s="14"/>
      <c r="J44" s="14"/>
    </row>
    <row r="46" spans="1:10" x14ac:dyDescent="0.2">
      <c r="A46" s="1" t="s">
        <v>9</v>
      </c>
      <c r="B46" s="13">
        <f>+C46+B12-F12</f>
        <v>338.06100000000004</v>
      </c>
      <c r="C46" s="12">
        <v>314.89999999999998</v>
      </c>
      <c r="D46" s="11"/>
      <c r="E46" s="11"/>
      <c r="F46" s="11"/>
      <c r="G46" s="11"/>
    </row>
    <row r="47" spans="1:10" x14ac:dyDescent="0.2">
      <c r="A47" s="1" t="s">
        <v>8</v>
      </c>
      <c r="B47" s="13">
        <f>B27</f>
        <v>61.9</v>
      </c>
      <c r="C47" s="12">
        <v>56.9</v>
      </c>
      <c r="D47" s="11"/>
      <c r="E47" s="11"/>
      <c r="F47" s="11"/>
      <c r="G47" s="11"/>
    </row>
    <row r="48" spans="1:10" x14ac:dyDescent="0.2">
      <c r="A48" s="1" t="s">
        <v>7</v>
      </c>
      <c r="B48" s="13">
        <f>C48+B37-F37</f>
        <v>14.947295</v>
      </c>
      <c r="C48" s="12">
        <v>6.8182949999999991</v>
      </c>
      <c r="D48" s="11"/>
      <c r="E48" s="11"/>
      <c r="F48" s="11"/>
      <c r="G48" s="11"/>
    </row>
    <row r="50" spans="1:10" s="10" customFormat="1" x14ac:dyDescent="0.2">
      <c r="A50" s="10" t="s">
        <v>6</v>
      </c>
      <c r="B50" s="10">
        <f>+SUM(B39:B40)/B47</f>
        <v>3.739903069466882</v>
      </c>
      <c r="C50" s="10">
        <f>+SUM(C39:C40)/C47</f>
        <v>3.8927943760984185</v>
      </c>
    </row>
    <row r="51" spans="1:10" s="10" customFormat="1" x14ac:dyDescent="0.2">
      <c r="A51" s="10" t="s">
        <v>5</v>
      </c>
      <c r="B51" s="10">
        <f>+B41/B47</f>
        <v>3.739903069466882</v>
      </c>
      <c r="C51" s="10">
        <f>+C41/C47</f>
        <v>3.8927943760984185</v>
      </c>
    </row>
    <row r="52" spans="1:10" s="10" customFormat="1" x14ac:dyDescent="0.2">
      <c r="A52" s="10" t="s">
        <v>4</v>
      </c>
      <c r="B52" s="10">
        <f>+(B41-B44)/B47</f>
        <v>3.5067205169628433</v>
      </c>
      <c r="C52" s="10">
        <f>+(C41-C44)/C47</f>
        <v>3.7750439367311075</v>
      </c>
    </row>
    <row r="53" spans="1:10" s="6" customFormat="1" x14ac:dyDescent="0.2">
      <c r="A53" s="6" t="s">
        <v>3</v>
      </c>
      <c r="B53" s="6">
        <f>+B48/B41</f>
        <v>6.4567149028077753E-2</v>
      </c>
      <c r="C53" s="6">
        <f>+C48/C41</f>
        <v>3.0782370203160266E-2</v>
      </c>
    </row>
    <row r="54" spans="1:10" s="6" customFormat="1" x14ac:dyDescent="0.2">
      <c r="A54" s="8" t="s">
        <v>2</v>
      </c>
      <c r="B54" s="9"/>
      <c r="C54" s="9"/>
      <c r="D54" s="9"/>
      <c r="E54" s="9"/>
      <c r="F54" s="9"/>
      <c r="G54" s="9"/>
      <c r="H54" s="8"/>
      <c r="I54" s="8"/>
      <c r="J54" s="8"/>
    </row>
    <row r="55" spans="1:10" s="6" customFormat="1" x14ac:dyDescent="0.2">
      <c r="A55" s="6" t="s">
        <v>1</v>
      </c>
      <c r="B55" s="7">
        <f>IF(B42=0,IF(B54="","","*"&amp;TEXT(B54,"0.0x")),(B41+B42-B44)/B47)</f>
        <v>7.0172213247172861</v>
      </c>
      <c r="C55" s="7">
        <f>IF(C42=0,IF(C54="","","*"&amp;TEXT(C54,"0.0x")),(C41+C42-C44)/C47)</f>
        <v>7.5940246045694204</v>
      </c>
      <c r="D55" s="7"/>
      <c r="E55" s="7"/>
      <c r="F55" s="7"/>
      <c r="G55" s="7"/>
      <c r="H55" s="7"/>
      <c r="I55" s="7"/>
      <c r="J55" s="7" t="str">
        <f t="shared" ref="J55" si="6">IF(J42=0,IF(J54="","",CONCATENATE("* ",J54,"x")),(J41+J42-J44)/J47)</f>
        <v/>
      </c>
    </row>
    <row r="56" spans="1:10" x14ac:dyDescent="0.2">
      <c r="G56" s="3"/>
    </row>
    <row r="57" spans="1:10" ht="80.25" customHeight="1" x14ac:dyDescent="0.2">
      <c r="A57" s="5" t="s">
        <v>0</v>
      </c>
      <c r="B57" s="4" t="s">
        <v>104</v>
      </c>
      <c r="C57" s="4" t="s">
        <v>104</v>
      </c>
      <c r="D57" s="4"/>
      <c r="E57" s="4"/>
      <c r="F57" s="4"/>
      <c r="G57" s="4"/>
      <c r="H57" s="4"/>
      <c r="I57" s="4"/>
      <c r="J57" s="4"/>
    </row>
    <row r="58" spans="1:10" x14ac:dyDescent="0.2">
      <c r="A58" s="2"/>
      <c r="B58" s="3"/>
      <c r="C58" s="3"/>
    </row>
    <row r="59" spans="1:10" x14ac:dyDescent="0.2">
      <c r="A59"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Sheet1</vt:lpstr>
      <vt:lpstr>1-800 Contacts</vt:lpstr>
      <vt:lpstr>American Greetings</vt:lpstr>
      <vt:lpstr>Arbys Restaurant Group</vt:lpstr>
      <vt:lpstr>Atkins Nutritional</vt:lpstr>
      <vt:lpstr>Bass Pro Group</vt:lpstr>
      <vt:lpstr>Bay Club</vt:lpstr>
      <vt:lpstr>Boardriders</vt:lpstr>
      <vt:lpstr>Burger King</vt:lpstr>
      <vt:lpstr>Camping World</vt:lpstr>
      <vt:lpstr>Carlisle FoodService</vt:lpstr>
      <vt:lpstr>CH Guenther &amp; Son</vt:lpstr>
      <vt:lpstr>Cirque du Soleil</vt:lpstr>
      <vt:lpstr>Constellation Brands</vt:lpstr>
      <vt:lpstr>CSM Bakery</vt:lpstr>
      <vt:lpstr>Eyemart Express</vt:lpstr>
      <vt:lpstr>Fluidra</vt:lpstr>
      <vt:lpstr>Hostess Brands</vt:lpstr>
      <vt:lpstr>International Car Wash Group</vt:lpstr>
      <vt:lpstr>Jacobs Douwe Egberts</vt:lpstr>
      <vt:lpstr>JBS USA</vt:lpstr>
      <vt:lpstr>KIK Custom Products</vt:lpstr>
      <vt:lpstr>Life Time Fitness</vt:lpstr>
      <vt:lpstr>Mastronardi Produce</vt:lpstr>
      <vt:lpstr>MyEyeDr</vt:lpstr>
      <vt:lpstr>Navico</vt:lpstr>
      <vt:lpstr>NBTY</vt:lpstr>
      <vt:lpstr>NPC International</vt:lpstr>
      <vt:lpstr>Pabst Blue Ribbon</vt:lpstr>
      <vt:lpstr>Packers Holdings</vt:lpstr>
      <vt:lpstr>Pelican Products</vt:lpstr>
      <vt:lpstr>PlayCore</vt:lpstr>
      <vt:lpstr>Protection One</vt:lpstr>
      <vt:lpstr>SMG</vt:lpstr>
      <vt:lpstr>TKC Holdings</vt:lpstr>
      <vt:lpstr>TriMark</vt:lpstr>
      <vt:lpstr>TruGreen</vt:lpstr>
      <vt:lpstr>UFC Holdings</vt:lpstr>
      <vt:lpstr>Varsity Brands</vt:lpstr>
      <vt:lpstr>VC GB</vt:lpstr>
      <vt:lpstr>Veritext Legal Solutions</vt:lpstr>
      <vt:lpstr>Weight Watchers</vt:lpstr>
      <vt:lpstr>WorldStrides</vt:lpstr>
      <vt:lpstr>Yum Brands</vt:lpstr>
      <vt:lpstr>Restaurant Technologies, Inc.</vt:lpstr>
      <vt:lpstr>Chobani</vt:lpstr>
      <vt:lpstr>Hearthside Food Solutions</vt:lpstr>
      <vt:lpstr>Jostens, Inc.</vt:lpstr>
      <vt:lpstr>Aimbridge Hospitality</vt:lpstr>
      <vt:lpstr>TopGolf International</vt:lpstr>
      <vt:lpstr>Belfor Holdings</vt:lpstr>
      <vt:lpstr>Equinox</vt:lpstr>
      <vt:lpstr>Tivity Health</vt:lpstr>
      <vt:lpstr>Servpro</vt:lpstr>
      <vt:lpstr>Anastasia Skin Care</vt:lpstr>
      <vt:lpstr>Mister Car Wash</vt:lpstr>
      <vt:lpstr>Insurance Auto Auctions, Inc.</vt:lpstr>
      <vt:lpstr>Worley Claims Services</vt:lpstr>
      <vt:lpstr>NASCAR</vt:lpstr>
      <vt:lpstr>Whataburger</vt:lpstr>
      <vt:lpstr>PLZ Aeroscience Corporation</vt:lpstr>
      <vt:lpstr>World Triathlon</vt:lpstr>
      <vt:lpstr>Knowlton Development</vt:lpstr>
      <vt:lpstr>B&amp;G Foods</vt:lpstr>
      <vt:lpstr>KAR Auction Services</vt:lpstr>
      <vt:lpstr>Shearers Foods</vt:lpstr>
      <vt:lpstr>Arnotts</vt:lpstr>
      <vt:lpstr>Merlin Entertainment</vt:lpstr>
      <vt:lpstr>ServiceMaster</vt:lpstr>
      <vt:lpstr>Aramark</vt:lpstr>
      <vt:lpstr>First Advantage</vt:lpstr>
      <vt:lpstr>Authentic Brands Group LLC</vt:lpstr>
      <vt:lpstr>Reynolds Consumer Products</vt:lpstr>
      <vt:lpstr>Stubhub</vt:lpstr>
      <vt:lpstr>AMEX Global Business Travel</vt:lpstr>
      <vt:lpstr>Blackhawk Network Holdings</vt:lpstr>
      <vt:lpstr>Adevinta</vt:lpstr>
      <vt:lpstr>Alliance Laundry</vt:lpstr>
      <vt:lpstr>American Residential</vt:lpstr>
      <vt:lpstr>Service Logic</vt:lpstr>
      <vt:lpstr>Weber Grills</vt:lpstr>
      <vt:lpstr>Zaxbys</vt:lpstr>
      <vt:lpstr>CommerceHub</vt:lpstr>
      <vt:lpstr>Imperial Dade</vt:lpstr>
      <vt:lpstr>Therma Holdings</vt:lpstr>
      <vt:lpstr>Utz Brands</vt:lpstr>
      <vt:lpstr>Rent-A-Center</vt:lpstr>
      <vt:lpstr>PrimeSource</vt:lpstr>
      <vt:lpstr>PDC Brands</vt:lpstr>
      <vt:lpstr>Murphy USA</vt:lpstr>
      <vt:lpstr>Jo-Ann Fabrics</vt:lpstr>
      <vt:lpstr>Hillman</vt:lpstr>
      <vt:lpstr>Domtar Personal Care</vt:lpstr>
      <vt:lpstr>Triton Water</vt:lpstr>
      <vt:lpstr>SiteOne</vt:lpstr>
      <vt:lpstr>Spectrum Brands</vt:lpstr>
      <vt:lpstr>City Brewing</vt:lpstr>
      <vt:lpstr>Hunter Fans</vt:lpstr>
      <vt:lpstr>ImageFirst</vt:lpstr>
      <vt:lpstr>Frontdoor</vt:lpstr>
      <vt:lpstr>Conair</vt:lpstr>
      <vt:lpstr>Club Car</vt:lpstr>
      <vt:lpstr>APM Global</vt:lpstr>
      <vt:lpstr>Sovos Brands</vt:lpstr>
      <vt:lpstr>Madison IAQ</vt:lpstr>
      <vt:lpstr>Herman Miller</vt:lpstr>
      <vt:lpstr>EmployBridge</vt:lpstr>
      <vt:lpstr>CoolSys</vt:lpstr>
      <vt:lpstr>Monogram Food</vt:lpstr>
      <vt:lpstr>Pilot Travel Centers</vt:lpstr>
      <vt:lpstr>Waterlogic</vt:lpstr>
      <vt:lpstr>&lt;Issuer Name&gt;</vt:lpstr>
    </vt:vector>
  </TitlesOfParts>
  <Company>York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Parikshit Marathe</dc:creator>
  <cp:lastModifiedBy>Deepak Rawat</cp:lastModifiedBy>
  <dcterms:created xsi:type="dcterms:W3CDTF">2018-09-18T09:27:53Z</dcterms:created>
  <dcterms:modified xsi:type="dcterms:W3CDTF">2021-09-15T11:37:35Z</dcterms:modified>
</cp:coreProperties>
</file>