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LLM\Electricity_Project\dashboard-automation-shared\dashboard_automation\"/>
    </mc:Choice>
  </mc:AlternateContent>
  <xr:revisionPtr revIDLastSave="0" documentId="13_ncr:1_{1AA90093-ECBC-4B7F-A8CB-0E15ABF05282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Dashboard" sheetId="1" r:id="rId1"/>
    <sheet name="Summary" sheetId="4" r:id="rId2"/>
    <sheet name="Value Calc YTD " sheetId="5" state="hidden" r:id="rId3"/>
    <sheet name="Value Calc YTD  WHRS" sheetId="10" state="hidden" r:id="rId4"/>
    <sheet name="Value Calc (Rev fuel)" sheetId="8" r:id="rId5"/>
    <sheet name="Value Calc (old no use)" sheetId="6" state="hidden" r:id="rId6"/>
  </sheets>
  <externalReferences>
    <externalReference r:id="rId7"/>
  </externalReferences>
  <definedNames>
    <definedName name="_xlnm._FilterDatabase" localSheetId="0" hidden="1">Dashboard!$B$161:$D$161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8" l="1"/>
  <c r="H4" i="8"/>
  <c r="AJ137" i="1"/>
  <c r="AJ138" i="1"/>
  <c r="AD5" i="1"/>
  <c r="G12" i="4"/>
  <c r="AJ5" i="1"/>
  <c r="H8" i="8"/>
  <c r="H7" i="8"/>
  <c r="H6" i="8"/>
  <c r="H5" i="8"/>
  <c r="P4" i="8"/>
  <c r="AG3" i="1"/>
  <c r="AH3" i="1"/>
  <c r="AG4" i="1"/>
  <c r="AG5" i="1" s="1"/>
  <c r="AH4" i="1"/>
  <c r="AH5" i="1" s="1"/>
  <c r="AG6" i="1"/>
  <c r="AH6" i="1"/>
  <c r="AH8" i="1" s="1"/>
  <c r="AG7" i="1"/>
  <c r="AH7" i="1"/>
  <c r="AG8" i="1"/>
  <c r="AG9" i="1"/>
  <c r="AH9" i="1"/>
  <c r="AG10" i="1"/>
  <c r="AH10" i="1"/>
  <c r="AG11" i="1"/>
  <c r="AH11" i="1"/>
  <c r="AG14" i="1"/>
  <c r="AG16" i="1" s="1"/>
  <c r="AH14" i="1"/>
  <c r="AH16" i="1" s="1"/>
  <c r="AG15" i="1"/>
  <c r="AH15" i="1"/>
  <c r="AG19" i="1"/>
  <c r="AH19" i="1"/>
  <c r="AH20" i="1" s="1"/>
  <c r="AH22" i="1" s="1"/>
  <c r="AG20" i="1"/>
  <c r="AG22" i="1" s="1"/>
  <c r="AG21" i="1"/>
  <c r="AH21" i="1"/>
  <c r="AG24" i="1"/>
  <c r="AH24" i="1"/>
  <c r="AG32" i="1"/>
  <c r="AG34" i="1" s="1"/>
  <c r="AG35" i="1" s="1"/>
  <c r="AH32" i="1"/>
  <c r="AH34" i="1" s="1"/>
  <c r="AH35" i="1" s="1"/>
  <c r="AG33" i="1"/>
  <c r="AH33" i="1"/>
  <c r="AG36" i="1"/>
  <c r="AH36" i="1"/>
  <c r="AG39" i="1"/>
  <c r="AH39" i="1"/>
  <c r="AG40" i="1"/>
  <c r="AH40" i="1"/>
  <c r="AG41" i="1"/>
  <c r="AH41" i="1"/>
  <c r="AG44" i="1"/>
  <c r="AG50" i="1" s="1"/>
  <c r="AH44" i="1"/>
  <c r="AH50" i="1" s="1"/>
  <c r="AG45" i="1"/>
  <c r="AG46" i="1" s="1"/>
  <c r="AH45" i="1"/>
  <c r="AG49" i="1"/>
  <c r="AH49" i="1"/>
  <c r="AG53" i="1"/>
  <c r="AH53" i="1"/>
  <c r="AH54" i="1" s="1"/>
  <c r="AG57" i="1"/>
  <c r="AH57" i="1"/>
  <c r="AG58" i="1"/>
  <c r="AG59" i="1" s="1"/>
  <c r="AH58" i="1"/>
  <c r="AH59" i="1" s="1"/>
  <c r="AG62" i="1"/>
  <c r="AH62" i="1"/>
  <c r="AG66" i="1"/>
  <c r="AH66" i="1"/>
  <c r="AH67" i="1" s="1"/>
  <c r="AG87" i="1"/>
  <c r="AH87" i="1"/>
  <c r="AG124" i="1"/>
  <c r="AH124" i="1"/>
  <c r="AH98" i="1" s="1"/>
  <c r="AG126" i="1"/>
  <c r="AH126" i="1"/>
  <c r="AG98" i="1" l="1"/>
  <c r="AH37" i="1"/>
  <c r="AH38" i="1" s="1"/>
  <c r="AH88" i="1"/>
  <c r="AH63" i="1"/>
  <c r="AH134" i="1"/>
  <c r="AH137" i="1" s="1"/>
  <c r="AG67" i="1"/>
  <c r="AG134" i="1"/>
  <c r="AG138" i="1" s="1"/>
  <c r="AG37" i="1"/>
  <c r="AG38" i="1" s="1"/>
  <c r="AH46" i="1"/>
  <c r="AG54" i="1"/>
  <c r="AG137" i="1"/>
  <c r="AG88" i="1"/>
  <c r="AG139" i="1"/>
  <c r="AG63" i="1"/>
  <c r="AH136" i="1" l="1"/>
  <c r="AG136" i="1"/>
  <c r="AG135" i="1"/>
  <c r="AH138" i="1"/>
  <c r="AH139" i="1"/>
  <c r="AH135" i="1"/>
  <c r="P10" i="8"/>
  <c r="AA49" i="8" l="1"/>
  <c r="S28" i="8" s="1"/>
  <c r="AA54" i="8" l="1"/>
  <c r="X55" i="8" s="1"/>
  <c r="S31" i="8" s="1"/>
  <c r="T33" i="8" s="1"/>
  <c r="AA46" i="8" l="1"/>
  <c r="S25" i="8" s="1"/>
  <c r="AA51" i="8"/>
  <c r="S30" i="8" s="1"/>
  <c r="AA50" i="8"/>
  <c r="S29" i="8" s="1"/>
  <c r="AA48" i="8"/>
  <c r="S27" i="8" s="1"/>
  <c r="AA47" i="8"/>
  <c r="S26" i="8" s="1"/>
  <c r="P30" i="8"/>
  <c r="T34" i="8" s="1"/>
  <c r="G15" i="8" l="1"/>
  <c r="T16" i="8" s="1"/>
  <c r="E28" i="4" l="1"/>
  <c r="D28" i="4"/>
  <c r="AJ132" i="1" l="1"/>
  <c r="AJ131" i="1"/>
  <c r="AJ130" i="1"/>
  <c r="AJ129" i="1"/>
  <c r="AF126" i="1"/>
  <c r="AE126" i="1"/>
  <c r="AD126" i="1"/>
  <c r="AC126" i="1"/>
  <c r="AC98" i="1" s="1"/>
  <c r="AB126" i="1"/>
  <c r="AA126" i="1"/>
  <c r="AA98" i="1" s="1"/>
  <c r="Z126" i="1"/>
  <c r="Y126" i="1"/>
  <c r="X126" i="1"/>
  <c r="W126" i="1"/>
  <c r="V126" i="1"/>
  <c r="U126" i="1"/>
  <c r="T126" i="1"/>
  <c r="S126" i="1"/>
  <c r="S98" i="1" s="1"/>
  <c r="R126" i="1"/>
  <c r="Q126" i="1"/>
  <c r="Q37" i="1" s="1"/>
  <c r="P126" i="1"/>
  <c r="O126" i="1"/>
  <c r="N126" i="1"/>
  <c r="M126" i="1"/>
  <c r="L126" i="1"/>
  <c r="K126" i="1"/>
  <c r="J126" i="1"/>
  <c r="I126" i="1"/>
  <c r="I98" i="1" s="1"/>
  <c r="H126" i="1"/>
  <c r="G126" i="1"/>
  <c r="F126" i="1"/>
  <c r="E126" i="1"/>
  <c r="AJ125" i="1"/>
  <c r="AF124" i="1"/>
  <c r="AF98" i="1" s="1"/>
  <c r="AE124" i="1"/>
  <c r="AD124" i="1"/>
  <c r="AC124" i="1"/>
  <c r="AB124" i="1"/>
  <c r="AA124" i="1"/>
  <c r="Z124" i="1"/>
  <c r="Z98" i="1" s="1"/>
  <c r="Y124" i="1"/>
  <c r="X124" i="1"/>
  <c r="W124" i="1"/>
  <c r="V124" i="1"/>
  <c r="U124" i="1"/>
  <c r="T124" i="1"/>
  <c r="S124" i="1"/>
  <c r="R124" i="1"/>
  <c r="Q124" i="1"/>
  <c r="P124" i="1"/>
  <c r="O124" i="1"/>
  <c r="N124" i="1"/>
  <c r="N37" i="1" s="1"/>
  <c r="M124" i="1"/>
  <c r="L124" i="1"/>
  <c r="K124" i="1"/>
  <c r="J124" i="1"/>
  <c r="I124" i="1"/>
  <c r="H124" i="1"/>
  <c r="G124" i="1"/>
  <c r="G98" i="1" s="1"/>
  <c r="F124" i="1"/>
  <c r="E124" i="1"/>
  <c r="AJ123" i="1"/>
  <c r="D19" i="4" s="1"/>
  <c r="AJ121" i="1"/>
  <c r="AC120" i="1"/>
  <c r="AB120" i="1"/>
  <c r="X120" i="1"/>
  <c r="S120" i="1"/>
  <c r="F120" i="1"/>
  <c r="E120" i="1"/>
  <c r="AJ119" i="1"/>
  <c r="D14" i="4" s="1"/>
  <c r="AD118" i="1"/>
  <c r="AC118" i="1"/>
  <c r="AB118" i="1"/>
  <c r="X118" i="1"/>
  <c r="AJ111" i="1"/>
  <c r="G37" i="4" s="1"/>
  <c r="AJ110" i="1"/>
  <c r="G35" i="4" s="1"/>
  <c r="AJ109" i="1"/>
  <c r="G33" i="4" s="1"/>
  <c r="G27" i="8" s="1"/>
  <c r="AJ105" i="1"/>
  <c r="AJ106" i="1" s="1"/>
  <c r="AJ104" i="1"/>
  <c r="AJ101" i="1"/>
  <c r="D31" i="4" s="1"/>
  <c r="AJ100" i="1"/>
  <c r="G99" i="1"/>
  <c r="AE98" i="1"/>
  <c r="R98" i="1"/>
  <c r="J98" i="1"/>
  <c r="AJ97" i="1"/>
  <c r="E20" i="4" s="1"/>
  <c r="AJ96" i="1"/>
  <c r="D20" i="4" s="1"/>
  <c r="AJ95" i="1"/>
  <c r="AL95" i="1" s="1"/>
  <c r="AJ94" i="1"/>
  <c r="AL94" i="1" s="1"/>
  <c r="AJ93" i="1"/>
  <c r="D8" i="4" s="1"/>
  <c r="AJ92" i="1"/>
  <c r="AJ91" i="1"/>
  <c r="AL91" i="1" s="1"/>
  <c r="AJ90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J86" i="1"/>
  <c r="AJ85" i="1"/>
  <c r="AL85" i="1" s="1"/>
  <c r="AJ84" i="1"/>
  <c r="AJ83" i="1"/>
  <c r="T4" i="8" s="1"/>
  <c r="AJ82" i="1"/>
  <c r="W4" i="8" s="1"/>
  <c r="AJ81" i="1"/>
  <c r="V4" i="8" s="1"/>
  <c r="AJ80" i="1"/>
  <c r="AL80" i="1" s="1"/>
  <c r="AJ79" i="1"/>
  <c r="AJ75" i="1"/>
  <c r="E30" i="4" s="1"/>
  <c r="F30" i="4" s="1"/>
  <c r="AJ73" i="1"/>
  <c r="AJ72" i="1"/>
  <c r="V67" i="1"/>
  <c r="AF66" i="1"/>
  <c r="AE66" i="1"/>
  <c r="AD66" i="1"/>
  <c r="AC66" i="1"/>
  <c r="AB66" i="1"/>
  <c r="AA66" i="1"/>
  <c r="Z66" i="1"/>
  <c r="Y66" i="1"/>
  <c r="X66" i="1"/>
  <c r="W66" i="1"/>
  <c r="V66" i="1"/>
  <c r="U66" i="1"/>
  <c r="U67" i="1" s="1"/>
  <c r="T66" i="1"/>
  <c r="T67" i="1" s="1"/>
  <c r="S66" i="1"/>
  <c r="R66" i="1"/>
  <c r="Q66" i="1"/>
  <c r="P66" i="1"/>
  <c r="O66" i="1"/>
  <c r="N66" i="1"/>
  <c r="N67" i="1" s="1"/>
  <c r="M66" i="1"/>
  <c r="L66" i="1"/>
  <c r="K66" i="1"/>
  <c r="K67" i="1" s="1"/>
  <c r="J66" i="1"/>
  <c r="I66" i="1"/>
  <c r="H66" i="1"/>
  <c r="G66" i="1"/>
  <c r="F66" i="1"/>
  <c r="E66" i="1"/>
  <c r="AJ65" i="1"/>
  <c r="AK65" i="1" s="1"/>
  <c r="AJ64" i="1"/>
  <c r="AK64" i="1" s="1"/>
  <c r="V63" i="1"/>
  <c r="U63" i="1"/>
  <c r="H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T63" i="1" s="1"/>
  <c r="S62" i="1"/>
  <c r="R62" i="1"/>
  <c r="Q62" i="1"/>
  <c r="P62" i="1"/>
  <c r="O62" i="1"/>
  <c r="O63" i="1" s="1"/>
  <c r="N62" i="1"/>
  <c r="M62" i="1"/>
  <c r="M63" i="1" s="1"/>
  <c r="L62" i="1"/>
  <c r="K62" i="1"/>
  <c r="J62" i="1"/>
  <c r="J63" i="1" s="1"/>
  <c r="I62" i="1"/>
  <c r="I63" i="1" s="1"/>
  <c r="H62" i="1"/>
  <c r="G62" i="1"/>
  <c r="F62" i="1"/>
  <c r="E62" i="1"/>
  <c r="AJ61" i="1"/>
  <c r="AK61" i="1" s="1"/>
  <c r="AJ60" i="1"/>
  <c r="AK60" i="1" s="1"/>
  <c r="AF58" i="1"/>
  <c r="AE58" i="1"/>
  <c r="AE59" i="1" s="1"/>
  <c r="AD58" i="1"/>
  <c r="AC58" i="1"/>
  <c r="AC59" i="1" s="1"/>
  <c r="AB58" i="1"/>
  <c r="AA58" i="1"/>
  <c r="Z58" i="1"/>
  <c r="Y58" i="1"/>
  <c r="X58" i="1"/>
  <c r="X59" i="1" s="1"/>
  <c r="W58" i="1"/>
  <c r="V58" i="1"/>
  <c r="V59" i="1" s="1"/>
  <c r="U58" i="1"/>
  <c r="U59" i="1" s="1"/>
  <c r="T58" i="1"/>
  <c r="S58" i="1"/>
  <c r="R58" i="1"/>
  <c r="Q58" i="1"/>
  <c r="P58" i="1"/>
  <c r="P59" i="1" s="1"/>
  <c r="O58" i="1"/>
  <c r="O59" i="1" s="1"/>
  <c r="N58" i="1"/>
  <c r="N59" i="1" s="1"/>
  <c r="M58" i="1"/>
  <c r="L58" i="1"/>
  <c r="L59" i="1" s="1"/>
  <c r="K58" i="1"/>
  <c r="J58" i="1"/>
  <c r="I58" i="1"/>
  <c r="H58" i="1"/>
  <c r="G58" i="1"/>
  <c r="G59" i="1" s="1"/>
  <c r="F58" i="1"/>
  <c r="E58" i="1"/>
  <c r="AF57" i="1"/>
  <c r="AF63" i="1" s="1"/>
  <c r="AE57" i="1"/>
  <c r="AD57" i="1"/>
  <c r="AC57" i="1"/>
  <c r="AB57" i="1"/>
  <c r="AB59" i="1" s="1"/>
  <c r="AA57" i="1"/>
  <c r="AA59" i="1" s="1"/>
  <c r="Z57" i="1"/>
  <c r="Z59" i="1" s="1"/>
  <c r="Y57" i="1"/>
  <c r="X57" i="1"/>
  <c r="X67" i="1" s="1"/>
  <c r="W57" i="1"/>
  <c r="W67" i="1" s="1"/>
  <c r="V57" i="1"/>
  <c r="U57" i="1"/>
  <c r="T57" i="1"/>
  <c r="S57" i="1"/>
  <c r="R57" i="1"/>
  <c r="R59" i="1" s="1"/>
  <c r="Q57" i="1"/>
  <c r="P57" i="1"/>
  <c r="O57" i="1"/>
  <c r="N57" i="1"/>
  <c r="M57" i="1"/>
  <c r="L57" i="1"/>
  <c r="L67" i="1" s="1"/>
  <c r="K57" i="1"/>
  <c r="K63" i="1" s="1"/>
  <c r="J57" i="1"/>
  <c r="J67" i="1" s="1"/>
  <c r="I57" i="1"/>
  <c r="I67" i="1" s="1"/>
  <c r="H57" i="1"/>
  <c r="H67" i="1" s="1"/>
  <c r="G57" i="1"/>
  <c r="F57" i="1"/>
  <c r="E57" i="1"/>
  <c r="AJ56" i="1"/>
  <c r="AK56" i="1" s="1"/>
  <c r="AJ55" i="1"/>
  <c r="AK55" i="1" s="1"/>
  <c r="AI54" i="1"/>
  <c r="K54" i="1"/>
  <c r="G54" i="1"/>
  <c r="AF53" i="1"/>
  <c r="AE53" i="1"/>
  <c r="AD53" i="1"/>
  <c r="AC53" i="1"/>
  <c r="AB53" i="1"/>
  <c r="AA53" i="1"/>
  <c r="Z53" i="1"/>
  <c r="Y53" i="1"/>
  <c r="Y54" i="1" s="1"/>
  <c r="X53" i="1"/>
  <c r="W53" i="1"/>
  <c r="W54" i="1" s="1"/>
  <c r="V53" i="1"/>
  <c r="U53" i="1"/>
  <c r="T53" i="1"/>
  <c r="S53" i="1"/>
  <c r="R53" i="1"/>
  <c r="Q53" i="1"/>
  <c r="P53" i="1"/>
  <c r="O53" i="1"/>
  <c r="N53" i="1"/>
  <c r="M53" i="1"/>
  <c r="L53" i="1"/>
  <c r="L136" i="1" s="1"/>
  <c r="K53" i="1"/>
  <c r="J53" i="1"/>
  <c r="I53" i="1"/>
  <c r="H53" i="1"/>
  <c r="G53" i="1"/>
  <c r="F53" i="1"/>
  <c r="E53" i="1"/>
  <c r="AJ52" i="1"/>
  <c r="AK52" i="1" s="1"/>
  <c r="AJ51" i="1"/>
  <c r="AK51" i="1" s="1"/>
  <c r="H50" i="1"/>
  <c r="AF49" i="1"/>
  <c r="AE49" i="1"/>
  <c r="AD49" i="1"/>
  <c r="AC49" i="1"/>
  <c r="AB49" i="1"/>
  <c r="AA49" i="1"/>
  <c r="Z49" i="1"/>
  <c r="Z50" i="1" s="1"/>
  <c r="Y49" i="1"/>
  <c r="Y50" i="1" s="1"/>
  <c r="X49" i="1"/>
  <c r="W49" i="1"/>
  <c r="V49" i="1"/>
  <c r="U49" i="1"/>
  <c r="T49" i="1"/>
  <c r="S49" i="1"/>
  <c r="R49" i="1"/>
  <c r="Q49" i="1"/>
  <c r="Q50" i="1" s="1"/>
  <c r="P49" i="1"/>
  <c r="O49" i="1"/>
  <c r="O50" i="1" s="1"/>
  <c r="N49" i="1"/>
  <c r="M49" i="1"/>
  <c r="L49" i="1"/>
  <c r="K49" i="1"/>
  <c r="J49" i="1"/>
  <c r="I49" i="1"/>
  <c r="H49" i="1"/>
  <c r="H135" i="1" s="1"/>
  <c r="G49" i="1"/>
  <c r="G50" i="1" s="1"/>
  <c r="F49" i="1"/>
  <c r="E49" i="1"/>
  <c r="AJ48" i="1"/>
  <c r="AK48" i="1" s="1"/>
  <c r="AJ47" i="1"/>
  <c r="AK47" i="1" s="1"/>
  <c r="AA46" i="1"/>
  <c r="Q46" i="1"/>
  <c r="AF45" i="1"/>
  <c r="AE45" i="1"/>
  <c r="AD45" i="1"/>
  <c r="AC45" i="1"/>
  <c r="AB45" i="1"/>
  <c r="AB137" i="1" s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O46" i="1" s="1"/>
  <c r="N45" i="1"/>
  <c r="M45" i="1"/>
  <c r="M46" i="1" s="1"/>
  <c r="L45" i="1"/>
  <c r="K45" i="1"/>
  <c r="J45" i="1"/>
  <c r="I45" i="1"/>
  <c r="H45" i="1"/>
  <c r="G45" i="1"/>
  <c r="F45" i="1"/>
  <c r="F46" i="1" s="1"/>
  <c r="E45" i="1"/>
  <c r="E46" i="1" s="1"/>
  <c r="AI44" i="1"/>
  <c r="AF44" i="1"/>
  <c r="AE44" i="1"/>
  <c r="AE134" i="1" s="1"/>
  <c r="AD44" i="1"/>
  <c r="AC44" i="1"/>
  <c r="AC50" i="1" s="1"/>
  <c r="AB44" i="1"/>
  <c r="AB134" i="1" s="1"/>
  <c r="AA44" i="1"/>
  <c r="AA50" i="1" s="1"/>
  <c r="Z44" i="1"/>
  <c r="Z134" i="1" s="1"/>
  <c r="Z138" i="1" s="1"/>
  <c r="Y44" i="1"/>
  <c r="X44" i="1"/>
  <c r="X134" i="1" s="1"/>
  <c r="X138" i="1" s="1"/>
  <c r="W44" i="1"/>
  <c r="V44" i="1"/>
  <c r="U44" i="1"/>
  <c r="T44" i="1"/>
  <c r="T46" i="1" s="1"/>
  <c r="S44" i="1"/>
  <c r="S134" i="1" s="1"/>
  <c r="R44" i="1"/>
  <c r="R134" i="1" s="1"/>
  <c r="Q44" i="1"/>
  <c r="Q134" i="1" s="1"/>
  <c r="Q138" i="1" s="1"/>
  <c r="P44" i="1"/>
  <c r="P134" i="1" s="1"/>
  <c r="P138" i="1" s="1"/>
  <c r="O44" i="1"/>
  <c r="N44" i="1"/>
  <c r="N50" i="1" s="1"/>
  <c r="M44" i="1"/>
  <c r="M134" i="1" s="1"/>
  <c r="M139" i="1" s="1"/>
  <c r="L44" i="1"/>
  <c r="L134" i="1" s="1"/>
  <c r="K44" i="1"/>
  <c r="J44" i="1"/>
  <c r="I44" i="1"/>
  <c r="H44" i="1"/>
  <c r="H134" i="1" s="1"/>
  <c r="G44" i="1"/>
  <c r="G134" i="1" s="1"/>
  <c r="F44" i="1"/>
  <c r="E44" i="1"/>
  <c r="AJ43" i="1"/>
  <c r="AK43" i="1" s="1"/>
  <c r="AJ42" i="1"/>
  <c r="AK42" i="1" s="1"/>
  <c r="G41" i="1"/>
  <c r="AF40" i="1"/>
  <c r="AF41" i="1" s="1"/>
  <c r="AE40" i="1"/>
  <c r="AE41" i="1" s="1"/>
  <c r="AD40" i="1"/>
  <c r="AC40" i="1"/>
  <c r="AC41" i="1" s="1"/>
  <c r="AB40" i="1"/>
  <c r="AA40" i="1"/>
  <c r="Z40" i="1"/>
  <c r="Z41" i="1" s="1"/>
  <c r="Y40" i="1"/>
  <c r="Y41" i="1" s="1"/>
  <c r="X40" i="1"/>
  <c r="X41" i="1" s="1"/>
  <c r="W40" i="1"/>
  <c r="V40" i="1"/>
  <c r="U40" i="1"/>
  <c r="T40" i="1"/>
  <c r="S40" i="1"/>
  <c r="R40" i="1"/>
  <c r="Q40" i="1"/>
  <c r="Q41" i="1" s="1"/>
  <c r="P40" i="1"/>
  <c r="O40" i="1"/>
  <c r="N40" i="1"/>
  <c r="M40" i="1"/>
  <c r="L40" i="1"/>
  <c r="K40" i="1"/>
  <c r="K41" i="1" s="1"/>
  <c r="J40" i="1"/>
  <c r="I40" i="1"/>
  <c r="H40" i="1"/>
  <c r="G40" i="1"/>
  <c r="F40" i="1"/>
  <c r="E40" i="1"/>
  <c r="AF39" i="1"/>
  <c r="AE39" i="1"/>
  <c r="AD39" i="1"/>
  <c r="AD41" i="1" s="1"/>
  <c r="AC39" i="1"/>
  <c r="AB39" i="1"/>
  <c r="AB41" i="1" s="1"/>
  <c r="AA39" i="1"/>
  <c r="Z39" i="1"/>
  <c r="Y39" i="1"/>
  <c r="X39" i="1"/>
  <c r="W39" i="1"/>
  <c r="V39" i="1"/>
  <c r="U39" i="1"/>
  <c r="U41" i="1" s="1"/>
  <c r="T39" i="1"/>
  <c r="T41" i="1" s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E41" i="1" s="1"/>
  <c r="AB38" i="1"/>
  <c r="AF37" i="1"/>
  <c r="AE37" i="1"/>
  <c r="AB37" i="1"/>
  <c r="Z37" i="1"/>
  <c r="Z38" i="1" s="1"/>
  <c r="Y37" i="1"/>
  <c r="X37" i="1"/>
  <c r="S37" i="1"/>
  <c r="S38" i="1" s="1"/>
  <c r="P37" i="1"/>
  <c r="O37" i="1"/>
  <c r="J37" i="1"/>
  <c r="H37" i="1"/>
  <c r="G37" i="1"/>
  <c r="AF36" i="1"/>
  <c r="AF38" i="1" s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P38" i="1" s="1"/>
  <c r="O36" i="1"/>
  <c r="N36" i="1"/>
  <c r="M36" i="1"/>
  <c r="L36" i="1"/>
  <c r="K36" i="1"/>
  <c r="J36" i="1"/>
  <c r="J38" i="1" s="1"/>
  <c r="I36" i="1"/>
  <c r="H36" i="1"/>
  <c r="H38" i="1" s="1"/>
  <c r="G36" i="1"/>
  <c r="G38" i="1" s="1"/>
  <c r="F36" i="1"/>
  <c r="E36" i="1"/>
  <c r="Z34" i="1"/>
  <c r="Z35" i="1" s="1"/>
  <c r="O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F32" i="1"/>
  <c r="AE32" i="1"/>
  <c r="AD32" i="1"/>
  <c r="AC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N32" i="1"/>
  <c r="N34" i="1" s="1"/>
  <c r="M32" i="1"/>
  <c r="L32" i="1"/>
  <c r="K32" i="1"/>
  <c r="J32" i="1"/>
  <c r="I32" i="1"/>
  <c r="H32" i="1"/>
  <c r="G32" i="1"/>
  <c r="F32" i="1"/>
  <c r="F34" i="1" s="1"/>
  <c r="E32" i="1"/>
  <c r="AC31" i="1"/>
  <c r="AJ31" i="1" s="1"/>
  <c r="AJ30" i="1"/>
  <c r="AC30" i="1"/>
  <c r="AF29" i="1"/>
  <c r="AF34" i="1" s="1"/>
  <c r="AE29" i="1"/>
  <c r="AD29" i="1"/>
  <c r="AD34" i="1" s="1"/>
  <c r="AD35" i="1" s="1"/>
  <c r="AC29" i="1"/>
  <c r="AB29" i="1"/>
  <c r="AA29" i="1"/>
  <c r="AA34" i="1" s="1"/>
  <c r="Z29" i="1"/>
  <c r="Y29" i="1"/>
  <c r="X29" i="1"/>
  <c r="W29" i="1"/>
  <c r="V29" i="1"/>
  <c r="U29" i="1"/>
  <c r="T29" i="1"/>
  <c r="S29" i="1"/>
  <c r="Q29" i="1"/>
  <c r="P29" i="1"/>
  <c r="O29" i="1"/>
  <c r="AJ28" i="1"/>
  <c r="AJ27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J23" i="1"/>
  <c r="AK23" i="1" s="1"/>
  <c r="H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E20" i="1"/>
  <c r="AE22" i="1" s="1"/>
  <c r="AD20" i="1"/>
  <c r="AD22" i="1" s="1"/>
  <c r="X20" i="1"/>
  <c r="X22" i="1" s="1"/>
  <c r="U20" i="1"/>
  <c r="U22" i="1" s="1"/>
  <c r="G20" i="1"/>
  <c r="F20" i="1"/>
  <c r="F22" i="1" s="1"/>
  <c r="E20" i="1"/>
  <c r="E22" i="1" s="1"/>
  <c r="AF19" i="1"/>
  <c r="AF20" i="1" s="1"/>
  <c r="AF22" i="1" s="1"/>
  <c r="AE19" i="1"/>
  <c r="AD19" i="1"/>
  <c r="AC19" i="1"/>
  <c r="AC20" i="1" s="1"/>
  <c r="AC22" i="1" s="1"/>
  <c r="AB19" i="1"/>
  <c r="AB20" i="1" s="1"/>
  <c r="AB22" i="1" s="1"/>
  <c r="AA19" i="1"/>
  <c r="AA20" i="1" s="1"/>
  <c r="AA22" i="1" s="1"/>
  <c r="Z19" i="1"/>
  <c r="Z20" i="1" s="1"/>
  <c r="Z22" i="1" s="1"/>
  <c r="Y19" i="1"/>
  <c r="Y20" i="1" s="1"/>
  <c r="Y22" i="1" s="1"/>
  <c r="X19" i="1"/>
  <c r="W19" i="1"/>
  <c r="W20" i="1" s="1"/>
  <c r="W22" i="1" s="1"/>
  <c r="V19" i="1"/>
  <c r="V20" i="1" s="1"/>
  <c r="V22" i="1" s="1"/>
  <c r="U19" i="1"/>
  <c r="T19" i="1"/>
  <c r="T20" i="1" s="1"/>
  <c r="T22" i="1" s="1"/>
  <c r="S19" i="1"/>
  <c r="S20" i="1" s="1"/>
  <c r="S22" i="1" s="1"/>
  <c r="R19" i="1"/>
  <c r="R20" i="1" s="1"/>
  <c r="R22" i="1" s="1"/>
  <c r="Q19" i="1"/>
  <c r="Q20" i="1" s="1"/>
  <c r="Q22" i="1" s="1"/>
  <c r="P19" i="1"/>
  <c r="P20" i="1" s="1"/>
  <c r="P22" i="1" s="1"/>
  <c r="O19" i="1"/>
  <c r="O20" i="1" s="1"/>
  <c r="O22" i="1" s="1"/>
  <c r="N19" i="1"/>
  <c r="N20" i="1" s="1"/>
  <c r="M19" i="1"/>
  <c r="M20" i="1" s="1"/>
  <c r="M22" i="1" s="1"/>
  <c r="L19" i="1"/>
  <c r="L20" i="1" s="1"/>
  <c r="K19" i="1"/>
  <c r="K20" i="1" s="1"/>
  <c r="K22" i="1" s="1"/>
  <c r="J19" i="1"/>
  <c r="J20" i="1" s="1"/>
  <c r="J22" i="1" s="1"/>
  <c r="I19" i="1"/>
  <c r="I20" i="1" s="1"/>
  <c r="I22" i="1" s="1"/>
  <c r="H19" i="1"/>
  <c r="H20" i="1" s="1"/>
  <c r="G19" i="1"/>
  <c r="F19" i="1"/>
  <c r="E19" i="1"/>
  <c r="Y16" i="1"/>
  <c r="AF15" i="1"/>
  <c r="AE15" i="1"/>
  <c r="AE16" i="1" s="1"/>
  <c r="AD15" i="1"/>
  <c r="AC15" i="1"/>
  <c r="AC16" i="1" s="1"/>
  <c r="AB15" i="1"/>
  <c r="AA15" i="1"/>
  <c r="Z15" i="1"/>
  <c r="Y15" i="1"/>
  <c r="X15" i="1"/>
  <c r="W15" i="1"/>
  <c r="V15" i="1"/>
  <c r="U15" i="1"/>
  <c r="U16" i="1" s="1"/>
  <c r="T15" i="1"/>
  <c r="S15" i="1"/>
  <c r="R15" i="1"/>
  <c r="Q15" i="1"/>
  <c r="P15" i="1"/>
  <c r="O15" i="1"/>
  <c r="N15" i="1"/>
  <c r="M15" i="1"/>
  <c r="M16" i="1" s="1"/>
  <c r="L15" i="1"/>
  <c r="K15" i="1"/>
  <c r="J15" i="1"/>
  <c r="I15" i="1"/>
  <c r="H15" i="1"/>
  <c r="G15" i="1"/>
  <c r="F15" i="1"/>
  <c r="E15" i="1"/>
  <c r="AF14" i="1"/>
  <c r="AF16" i="1" s="1"/>
  <c r="AE14" i="1"/>
  <c r="AD14" i="1"/>
  <c r="AC14" i="1"/>
  <c r="AB14" i="1"/>
  <c r="AA14" i="1"/>
  <c r="AA16" i="1" s="1"/>
  <c r="Z14" i="1"/>
  <c r="Y14" i="1"/>
  <c r="X14" i="1"/>
  <c r="X16" i="1" s="1"/>
  <c r="W14" i="1"/>
  <c r="V14" i="1"/>
  <c r="U14" i="1"/>
  <c r="T14" i="1"/>
  <c r="S14" i="1"/>
  <c r="R14" i="1"/>
  <c r="R16" i="1" s="1"/>
  <c r="Q14" i="1"/>
  <c r="Q16" i="1" s="1"/>
  <c r="P14" i="1"/>
  <c r="P16" i="1" s="1"/>
  <c r="O14" i="1"/>
  <c r="N14" i="1"/>
  <c r="M14" i="1"/>
  <c r="L14" i="1"/>
  <c r="L16" i="1" s="1"/>
  <c r="K14" i="1"/>
  <c r="J14" i="1"/>
  <c r="J16" i="1" s="1"/>
  <c r="I14" i="1"/>
  <c r="I16" i="1" s="1"/>
  <c r="H14" i="1"/>
  <c r="H16" i="1" s="1"/>
  <c r="G14" i="1"/>
  <c r="G16" i="1" s="1"/>
  <c r="F14" i="1"/>
  <c r="E14" i="1"/>
  <c r="E16" i="1" s="1"/>
  <c r="S11" i="1"/>
  <c r="N11" i="1"/>
  <c r="AF10" i="1"/>
  <c r="AE10" i="1"/>
  <c r="AD10" i="1"/>
  <c r="AC10" i="1"/>
  <c r="AC11" i="1" s="1"/>
  <c r="AB10" i="1"/>
  <c r="AA10" i="1"/>
  <c r="Z10" i="1"/>
  <c r="Y10" i="1"/>
  <c r="X10" i="1"/>
  <c r="W10" i="1"/>
  <c r="V10" i="1"/>
  <c r="U10" i="1"/>
  <c r="U11" i="1" s="1"/>
  <c r="T10" i="1"/>
  <c r="T11" i="1" s="1"/>
  <c r="S10" i="1"/>
  <c r="R10" i="1"/>
  <c r="R11" i="1" s="1"/>
  <c r="Q10" i="1"/>
  <c r="P10" i="1"/>
  <c r="O10" i="1"/>
  <c r="N10" i="1"/>
  <c r="M10" i="1"/>
  <c r="L10" i="1"/>
  <c r="L11" i="1" s="1"/>
  <c r="K10" i="1"/>
  <c r="J10" i="1"/>
  <c r="I10" i="1"/>
  <c r="H10" i="1"/>
  <c r="G10" i="1"/>
  <c r="F10" i="1"/>
  <c r="E10" i="1"/>
  <c r="AF9" i="1"/>
  <c r="AE9" i="1"/>
  <c r="AD9" i="1"/>
  <c r="AC9" i="1"/>
  <c r="AB9" i="1"/>
  <c r="AA9" i="1"/>
  <c r="Z9" i="1"/>
  <c r="Y9" i="1"/>
  <c r="Y11" i="1" s="1"/>
  <c r="X9" i="1"/>
  <c r="W9" i="1"/>
  <c r="W11" i="1" s="1"/>
  <c r="V9" i="1"/>
  <c r="V11" i="1" s="1"/>
  <c r="U9" i="1"/>
  <c r="T9" i="1"/>
  <c r="S9" i="1"/>
  <c r="R9" i="1"/>
  <c r="Q9" i="1"/>
  <c r="P9" i="1"/>
  <c r="P11" i="1" s="1"/>
  <c r="O9" i="1"/>
  <c r="O11" i="1" s="1"/>
  <c r="N9" i="1"/>
  <c r="M9" i="1"/>
  <c r="L9" i="1"/>
  <c r="K9" i="1"/>
  <c r="J9" i="1"/>
  <c r="J11" i="1" s="1"/>
  <c r="I9" i="1"/>
  <c r="I11" i="1" s="1"/>
  <c r="H9" i="1"/>
  <c r="G9" i="1"/>
  <c r="F9" i="1"/>
  <c r="E9" i="1"/>
  <c r="P8" i="1"/>
  <c r="AF7" i="1"/>
  <c r="AE7" i="1"/>
  <c r="AD7" i="1"/>
  <c r="AC7" i="1"/>
  <c r="AC88" i="1" s="1"/>
  <c r="AB7" i="1"/>
  <c r="AA7" i="1"/>
  <c r="Z7" i="1"/>
  <c r="Y7" i="1"/>
  <c r="X7" i="1"/>
  <c r="W7" i="1"/>
  <c r="V7" i="1"/>
  <c r="V88" i="1" s="1"/>
  <c r="U7" i="1"/>
  <c r="T7" i="1"/>
  <c r="S7" i="1"/>
  <c r="S8" i="1" s="1"/>
  <c r="R7" i="1"/>
  <c r="Q7" i="1"/>
  <c r="P7" i="1"/>
  <c r="O7" i="1"/>
  <c r="N7" i="1"/>
  <c r="N8" i="1" s="1"/>
  <c r="M7" i="1"/>
  <c r="L7" i="1"/>
  <c r="L8" i="1" s="1"/>
  <c r="K7" i="1"/>
  <c r="J7" i="1"/>
  <c r="I7" i="1"/>
  <c r="H7" i="1"/>
  <c r="G7" i="1"/>
  <c r="F7" i="1"/>
  <c r="E7" i="1"/>
  <c r="AF6" i="1"/>
  <c r="AF8" i="1" s="1"/>
  <c r="AE6" i="1"/>
  <c r="AE8" i="1" s="1"/>
  <c r="AD6" i="1"/>
  <c r="AC6" i="1"/>
  <c r="AB6" i="1"/>
  <c r="AA6" i="1"/>
  <c r="Z6" i="1"/>
  <c r="Y6" i="1"/>
  <c r="X6" i="1"/>
  <c r="W6" i="1"/>
  <c r="W8" i="1" s="1"/>
  <c r="V6" i="1"/>
  <c r="U6" i="1"/>
  <c r="T6" i="1"/>
  <c r="S6" i="1"/>
  <c r="R6" i="1"/>
  <c r="R8" i="1" s="1"/>
  <c r="Q6" i="1"/>
  <c r="Q8" i="1" s="1"/>
  <c r="P6" i="1"/>
  <c r="O6" i="1"/>
  <c r="O8" i="1" s="1"/>
  <c r="N6" i="1"/>
  <c r="M6" i="1"/>
  <c r="L6" i="1"/>
  <c r="K6" i="1"/>
  <c r="J6" i="1"/>
  <c r="I6" i="1"/>
  <c r="I8" i="1" s="1"/>
  <c r="H6" i="1"/>
  <c r="G6" i="1"/>
  <c r="G8" i="1" s="1"/>
  <c r="F6" i="1"/>
  <c r="F8" i="1" s="1"/>
  <c r="E6" i="1"/>
  <c r="E8" i="1" s="1"/>
  <c r="V5" i="1"/>
  <c r="U5" i="1"/>
  <c r="AF4" i="1"/>
  <c r="AE4" i="1"/>
  <c r="AD4" i="1"/>
  <c r="AC4" i="1"/>
  <c r="AC5" i="1" s="1"/>
  <c r="AB4" i="1"/>
  <c r="AA4" i="1"/>
  <c r="Z4" i="1"/>
  <c r="Y4" i="1"/>
  <c r="X4" i="1"/>
  <c r="W4" i="1"/>
  <c r="V4" i="1"/>
  <c r="U4" i="1"/>
  <c r="T4" i="1"/>
  <c r="T5" i="1" s="1"/>
  <c r="S4" i="1"/>
  <c r="S5" i="1" s="1"/>
  <c r="R4" i="1"/>
  <c r="R5" i="1" s="1"/>
  <c r="Q4" i="1"/>
  <c r="P4" i="1"/>
  <c r="O4" i="1"/>
  <c r="N4" i="1"/>
  <c r="M4" i="1"/>
  <c r="L4" i="1"/>
  <c r="L5" i="1" s="1"/>
  <c r="K4" i="1"/>
  <c r="K5" i="1" s="1"/>
  <c r="J4" i="1"/>
  <c r="J5" i="1" s="1"/>
  <c r="I4" i="1"/>
  <c r="I5" i="1" s="1"/>
  <c r="H4" i="1"/>
  <c r="G4" i="1"/>
  <c r="F4" i="1"/>
  <c r="E4" i="1"/>
  <c r="AF3" i="1"/>
  <c r="AF88" i="1" s="1"/>
  <c r="AE3" i="1"/>
  <c r="AD3" i="1"/>
  <c r="AC3" i="1"/>
  <c r="AB3" i="1"/>
  <c r="AA3" i="1"/>
  <c r="Z3" i="1"/>
  <c r="Z88" i="1" s="1"/>
  <c r="Y3" i="1"/>
  <c r="X3" i="1"/>
  <c r="X5" i="1" s="1"/>
  <c r="W3" i="1"/>
  <c r="W5" i="1" s="1"/>
  <c r="V3" i="1"/>
  <c r="U3" i="1"/>
  <c r="T3" i="1"/>
  <c r="S3" i="1"/>
  <c r="R3" i="1"/>
  <c r="Q3" i="1"/>
  <c r="Q88" i="1" s="1"/>
  <c r="P3" i="1"/>
  <c r="P88" i="1" s="1"/>
  <c r="O3" i="1"/>
  <c r="O88" i="1" s="1"/>
  <c r="N3" i="1"/>
  <c r="M3" i="1"/>
  <c r="L3" i="1"/>
  <c r="K3" i="1"/>
  <c r="J3" i="1"/>
  <c r="I3" i="1"/>
  <c r="H3" i="1"/>
  <c r="G3" i="1"/>
  <c r="F3" i="1"/>
  <c r="E3" i="1"/>
  <c r="E88" i="1" s="1"/>
  <c r="Q137" i="1" l="1"/>
  <c r="S139" i="1"/>
  <c r="S138" i="1"/>
  <c r="L139" i="1"/>
  <c r="L138" i="1"/>
  <c r="X136" i="1"/>
  <c r="P137" i="1"/>
  <c r="R34" i="1"/>
  <c r="P46" i="1"/>
  <c r="AC54" i="1"/>
  <c r="S67" i="1"/>
  <c r="AA67" i="1"/>
  <c r="Z67" i="1"/>
  <c r="N38" i="1"/>
  <c r="Q38" i="1"/>
  <c r="AB34" i="1"/>
  <c r="AB35" i="1" s="1"/>
  <c r="Z63" i="1"/>
  <c r="AB67" i="1"/>
  <c r="R37" i="1"/>
  <c r="AB50" i="1"/>
  <c r="S63" i="1"/>
  <c r="AA63" i="1"/>
  <c r="AJ120" i="1"/>
  <c r="L63" i="1"/>
  <c r="AB63" i="1"/>
  <c r="I37" i="1"/>
  <c r="Y98" i="1"/>
  <c r="L37" i="1"/>
  <c r="AA54" i="1"/>
  <c r="L54" i="1"/>
  <c r="E134" i="1"/>
  <c r="M59" i="1"/>
  <c r="I59" i="1"/>
  <c r="Q59" i="1"/>
  <c r="AC63" i="1"/>
  <c r="G67" i="1"/>
  <c r="O67" i="1"/>
  <c r="AE67" i="1"/>
  <c r="AB54" i="1"/>
  <c r="F59" i="1"/>
  <c r="AD59" i="1"/>
  <c r="J59" i="1"/>
  <c r="F63" i="1"/>
  <c r="N63" i="1"/>
  <c r="P67" i="1"/>
  <c r="AF67" i="1"/>
  <c r="Q98" i="1"/>
  <c r="AJ39" i="1"/>
  <c r="AK39" i="1" s="1"/>
  <c r="AC46" i="1"/>
  <c r="M50" i="1"/>
  <c r="Z136" i="1"/>
  <c r="G88" i="1"/>
  <c r="AE88" i="1"/>
  <c r="Z11" i="1"/>
  <c r="AD11" i="1"/>
  <c r="T16" i="1"/>
  <c r="S41" i="1"/>
  <c r="H5" i="1"/>
  <c r="AF5" i="1"/>
  <c r="U8" i="1"/>
  <c r="Y88" i="1"/>
  <c r="AB11" i="1"/>
  <c r="X11" i="1"/>
  <c r="F16" i="1"/>
  <c r="V16" i="1"/>
  <c r="AD16" i="1"/>
  <c r="L38" i="1"/>
  <c r="I41" i="1"/>
  <c r="M41" i="1"/>
  <c r="M135" i="1"/>
  <c r="X54" i="1"/>
  <c r="S59" i="1"/>
  <c r="G135" i="1"/>
  <c r="AE63" i="1"/>
  <c r="W88" i="1"/>
  <c r="O98" i="1"/>
  <c r="N134" i="1"/>
  <c r="AJ20" i="1"/>
  <c r="F5" i="1"/>
  <c r="K8" i="1"/>
  <c r="AA8" i="1"/>
  <c r="F11" i="1"/>
  <c r="AB16" i="1"/>
  <c r="W41" i="1"/>
  <c r="AA88" i="1"/>
  <c r="G5" i="1"/>
  <c r="AE5" i="1"/>
  <c r="T8" i="1"/>
  <c r="AB8" i="1"/>
  <c r="AC8" i="1"/>
  <c r="K11" i="1"/>
  <c r="AA11" i="1"/>
  <c r="G11" i="1"/>
  <c r="AE11" i="1"/>
  <c r="G34" i="1"/>
  <c r="G35" i="1" s="1"/>
  <c r="L34" i="1"/>
  <c r="AE38" i="1"/>
  <c r="P41" i="1"/>
  <c r="L41" i="1"/>
  <c r="Q5" i="1"/>
  <c r="AD8" i="1"/>
  <c r="M11" i="1"/>
  <c r="Q11" i="1"/>
  <c r="O16" i="1"/>
  <c r="K16" i="1"/>
  <c r="S16" i="1"/>
  <c r="Q34" i="1"/>
  <c r="Q35" i="1" s="1"/>
  <c r="N41" i="1"/>
  <c r="N136" i="1"/>
  <c r="Z54" i="1"/>
  <c r="T59" i="1"/>
  <c r="P63" i="1"/>
  <c r="X63" i="1"/>
  <c r="H88" i="1"/>
  <c r="M98" i="1"/>
  <c r="X98" i="1"/>
  <c r="AL86" i="1"/>
  <c r="T5" i="8"/>
  <c r="AL92" i="1"/>
  <c r="D7" i="4"/>
  <c r="AK75" i="1"/>
  <c r="AL93" i="1"/>
  <c r="AJ77" i="1"/>
  <c r="E6" i="4"/>
  <c r="AK73" i="1"/>
  <c r="X9" i="8"/>
  <c r="E29" i="4"/>
  <c r="AK31" i="1"/>
  <c r="E17" i="4"/>
  <c r="AL96" i="1"/>
  <c r="E19" i="4"/>
  <c r="E13" i="4"/>
  <c r="AL82" i="1"/>
  <c r="D6" i="4"/>
  <c r="U4" i="8"/>
  <c r="D32" i="4"/>
  <c r="AL90" i="1"/>
  <c r="AL97" i="1"/>
  <c r="AL105" i="1"/>
  <c r="E31" i="4"/>
  <c r="F31" i="4" s="1"/>
  <c r="AK30" i="1"/>
  <c r="D17" i="4"/>
  <c r="X8" i="8"/>
  <c r="D29" i="4"/>
  <c r="AL84" i="1"/>
  <c r="U5" i="8"/>
  <c r="E32" i="4"/>
  <c r="AK72" i="1"/>
  <c r="N88" i="1"/>
  <c r="N5" i="1"/>
  <c r="F41" i="1"/>
  <c r="H8" i="1"/>
  <c r="AJ6" i="1"/>
  <c r="E63" i="1"/>
  <c r="AJ62" i="1"/>
  <c r="Q63" i="1"/>
  <c r="Q135" i="1"/>
  <c r="AJ33" i="1"/>
  <c r="AE139" i="1"/>
  <c r="AE138" i="1"/>
  <c r="R88" i="1"/>
  <c r="AJ15" i="1"/>
  <c r="K35" i="1"/>
  <c r="I54" i="1"/>
  <c r="I50" i="1"/>
  <c r="U134" i="1"/>
  <c r="U54" i="1"/>
  <c r="N46" i="1"/>
  <c r="Z46" i="1"/>
  <c r="Z137" i="1"/>
  <c r="J134" i="1"/>
  <c r="J137" i="1" s="1"/>
  <c r="J54" i="1"/>
  <c r="V134" i="1"/>
  <c r="V137" i="1" s="1"/>
  <c r="V54" i="1"/>
  <c r="X38" i="1"/>
  <c r="E135" i="1"/>
  <c r="P5" i="1"/>
  <c r="G138" i="1"/>
  <c r="G139" i="1"/>
  <c r="AB88" i="1"/>
  <c r="AB5" i="1"/>
  <c r="AJ10" i="1"/>
  <c r="AK10" i="1" s="1"/>
  <c r="E11" i="1"/>
  <c r="AJ3" i="1"/>
  <c r="I38" i="1"/>
  <c r="AJ36" i="1"/>
  <c r="F19" i="4" s="1"/>
  <c r="K50" i="1"/>
  <c r="W50" i="1"/>
  <c r="AJ49" i="1"/>
  <c r="K37" i="1"/>
  <c r="K38" i="1" s="1"/>
  <c r="K98" i="1"/>
  <c r="W37" i="1"/>
  <c r="W38" i="1" s="1"/>
  <c r="W98" i="1"/>
  <c r="I134" i="1"/>
  <c r="I137" i="1" s="1"/>
  <c r="AJ57" i="1"/>
  <c r="AD63" i="1"/>
  <c r="AJ126" i="1"/>
  <c r="E14" i="4" s="1"/>
  <c r="E98" i="1"/>
  <c r="E37" i="1"/>
  <c r="E137" i="1"/>
  <c r="E59" i="1"/>
  <c r="AJ58" i="1"/>
  <c r="Y63" i="1"/>
  <c r="Y134" i="1"/>
  <c r="Y137" i="1" s="1"/>
  <c r="N35" i="1"/>
  <c r="P135" i="1"/>
  <c r="Y59" i="1"/>
  <c r="AJ118" i="1"/>
  <c r="D13" i="4" s="1"/>
  <c r="X32" i="1"/>
  <c r="AJ32" i="1" s="1"/>
  <c r="N54" i="1"/>
  <c r="AJ14" i="1"/>
  <c r="I34" i="1"/>
  <c r="I35" i="1" s="1"/>
  <c r="I46" i="1"/>
  <c r="U46" i="1"/>
  <c r="U137" i="1"/>
  <c r="AJ53" i="1"/>
  <c r="E136" i="1"/>
  <c r="E54" i="1"/>
  <c r="Q136" i="1"/>
  <c r="Q54" i="1"/>
  <c r="T54" i="1"/>
  <c r="G63" i="1"/>
  <c r="Z5" i="1"/>
  <c r="AF11" i="1"/>
  <c r="AB46" i="1"/>
  <c r="S50" i="1"/>
  <c r="S135" i="1"/>
  <c r="F54" i="1"/>
  <c r="E67" i="1"/>
  <c r="K88" i="1"/>
  <c r="AA5" i="1"/>
  <c r="V8" i="1"/>
  <c r="AE34" i="1"/>
  <c r="AE35" i="1" s="1"/>
  <c r="R35" i="1"/>
  <c r="F50" i="1"/>
  <c r="F134" i="1"/>
  <c r="R50" i="1"/>
  <c r="R46" i="1"/>
  <c r="AD134" i="1"/>
  <c r="AD136" i="1" s="1"/>
  <c r="AD50" i="1"/>
  <c r="K46" i="1"/>
  <c r="W46" i="1"/>
  <c r="AJ45" i="1"/>
  <c r="G136" i="1"/>
  <c r="S136" i="1"/>
  <c r="S54" i="1"/>
  <c r="AE136" i="1"/>
  <c r="AE54" i="1"/>
  <c r="K59" i="1"/>
  <c r="Y67" i="1"/>
  <c r="M138" i="1"/>
  <c r="Q139" i="1"/>
  <c r="R63" i="1"/>
  <c r="R135" i="1"/>
  <c r="AL81" i="1"/>
  <c r="F135" i="1"/>
  <c r="F37" i="1"/>
  <c r="F38" i="1" s="1"/>
  <c r="F98" i="1"/>
  <c r="AD98" i="1"/>
  <c r="AD37" i="1"/>
  <c r="AD38" i="1" s="1"/>
  <c r="AD88" i="1"/>
  <c r="G22" i="1"/>
  <c r="Y34" i="1"/>
  <c r="Y35" i="1" s="1"/>
  <c r="E34" i="1"/>
  <c r="M34" i="1"/>
  <c r="M35" i="1" s="1"/>
  <c r="AC37" i="1"/>
  <c r="AC38" i="1" s="1"/>
  <c r="AB135" i="1"/>
  <c r="O54" i="1"/>
  <c r="W63" i="1"/>
  <c r="AJ87" i="1"/>
  <c r="AN80" i="1" s="1"/>
  <c r="Z8" i="1"/>
  <c r="P50" i="1"/>
  <c r="P136" i="1"/>
  <c r="P54" i="1"/>
  <c r="H59" i="1"/>
  <c r="H137" i="1"/>
  <c r="AF59" i="1"/>
  <c r="AL83" i="1"/>
  <c r="R138" i="1"/>
  <c r="R137" i="1"/>
  <c r="AC137" i="1"/>
  <c r="W16" i="1"/>
  <c r="AJ21" i="1"/>
  <c r="AK21" i="1" s="1"/>
  <c r="AC34" i="1"/>
  <c r="AC35" i="1" s="1"/>
  <c r="P34" i="1"/>
  <c r="P35" i="1" s="1"/>
  <c r="M37" i="1"/>
  <c r="M38" i="1" s="1"/>
  <c r="R41" i="1"/>
  <c r="AB138" i="1"/>
  <c r="AB139" i="1"/>
  <c r="AC136" i="1"/>
  <c r="H11" i="1"/>
  <c r="AE135" i="1"/>
  <c r="AE50" i="1"/>
  <c r="R136" i="1"/>
  <c r="R54" i="1"/>
  <c r="AD54" i="1"/>
  <c r="P139" i="1"/>
  <c r="O5" i="1"/>
  <c r="F35" i="1"/>
  <c r="L88" i="1"/>
  <c r="X88" i="1"/>
  <c r="N16" i="1"/>
  <c r="Z16" i="1"/>
  <c r="S34" i="1"/>
  <c r="S35" i="1" s="1"/>
  <c r="L35" i="1"/>
  <c r="L137" i="1"/>
  <c r="L46" i="1"/>
  <c r="X137" i="1"/>
  <c r="X46" i="1"/>
  <c r="AD46" i="1"/>
  <c r="U50" i="1"/>
  <c r="H136" i="1"/>
  <c r="H54" i="1"/>
  <c r="AF54" i="1"/>
  <c r="M67" i="1"/>
  <c r="L98" i="1"/>
  <c r="H98" i="1"/>
  <c r="AJ124" i="1"/>
  <c r="T98" i="1"/>
  <c r="T37" i="1"/>
  <c r="T38" i="1" s="1"/>
  <c r="AB136" i="1"/>
  <c r="R139" i="1"/>
  <c r="F88" i="1"/>
  <c r="M88" i="1"/>
  <c r="AJ4" i="1"/>
  <c r="E5" i="1"/>
  <c r="AJ9" i="1"/>
  <c r="T35" i="1"/>
  <c r="AF35" i="1"/>
  <c r="T34" i="1"/>
  <c r="J41" i="1"/>
  <c r="V41" i="1"/>
  <c r="H139" i="1"/>
  <c r="H138" i="1"/>
  <c r="T134" i="1"/>
  <c r="T50" i="1"/>
  <c r="AF134" i="1"/>
  <c r="AF136" i="1" s="1"/>
  <c r="AF50" i="1"/>
  <c r="M137" i="1"/>
  <c r="Y46" i="1"/>
  <c r="AF46" i="1"/>
  <c r="J50" i="1"/>
  <c r="V50" i="1"/>
  <c r="N98" i="1"/>
  <c r="AK28" i="1"/>
  <c r="AA37" i="1"/>
  <c r="AA38" i="1" s="1"/>
  <c r="H41" i="1"/>
  <c r="G46" i="1"/>
  <c r="S46" i="1"/>
  <c r="S137" i="1"/>
  <c r="AE46" i="1"/>
  <c r="W59" i="1"/>
  <c r="AJ66" i="1"/>
  <c r="Q67" i="1"/>
  <c r="AC67" i="1"/>
  <c r="U37" i="1"/>
  <c r="U38" i="1" s="1"/>
  <c r="U98" i="1"/>
  <c r="J8" i="1"/>
  <c r="L22" i="1"/>
  <c r="AJ29" i="1"/>
  <c r="H34" i="1"/>
  <c r="H35" i="1" s="1"/>
  <c r="O134" i="1"/>
  <c r="AA134" i="1"/>
  <c r="AA136" i="1" s="1"/>
  <c r="H46" i="1"/>
  <c r="T137" i="1"/>
  <c r="F67" i="1"/>
  <c r="R67" i="1"/>
  <c r="AD67" i="1"/>
  <c r="AL79" i="1"/>
  <c r="V37" i="1"/>
  <c r="V38" i="1" s="1"/>
  <c r="V98" i="1"/>
  <c r="G137" i="1"/>
  <c r="AE137" i="1"/>
  <c r="X139" i="1"/>
  <c r="J88" i="1"/>
  <c r="X8" i="1"/>
  <c r="N22" i="1"/>
  <c r="J34" i="1"/>
  <c r="J35" i="1" s="1"/>
  <c r="V34" i="1"/>
  <c r="V35" i="1" s="1"/>
  <c r="R38" i="1"/>
  <c r="AJ44" i="1"/>
  <c r="AC134" i="1"/>
  <c r="J46" i="1"/>
  <c r="V46" i="1"/>
  <c r="E50" i="1"/>
  <c r="AC135" i="1"/>
  <c r="M54" i="1"/>
  <c r="M136" i="1"/>
  <c r="Z139" i="1"/>
  <c r="U34" i="1"/>
  <c r="U35" i="1" s="1"/>
  <c r="K34" i="1"/>
  <c r="O35" i="1"/>
  <c r="AA35" i="1"/>
  <c r="Y38" i="1"/>
  <c r="O41" i="1"/>
  <c r="AA41" i="1"/>
  <c r="K134" i="1"/>
  <c r="K137" i="1" s="1"/>
  <c r="L50" i="1"/>
  <c r="L135" i="1"/>
  <c r="AB98" i="1"/>
  <c r="M8" i="1"/>
  <c r="Y8" i="1"/>
  <c r="AJ7" i="1"/>
  <c r="AK7" i="1" s="1"/>
  <c r="N135" i="1"/>
  <c r="Z135" i="1"/>
  <c r="W134" i="1"/>
  <c r="W135" i="1" s="1"/>
  <c r="X50" i="1"/>
  <c r="X135" i="1"/>
  <c r="P98" i="1"/>
  <c r="I88" i="1"/>
  <c r="M5" i="1"/>
  <c r="Y5" i="1"/>
  <c r="W34" i="1"/>
  <c r="W35" i="1" s="1"/>
  <c r="O38" i="1"/>
  <c r="AJ40" i="1"/>
  <c r="O135" i="1"/>
  <c r="AA135" i="1"/>
  <c r="AJ102" i="1"/>
  <c r="AL101" i="1"/>
  <c r="E138" i="1" l="1"/>
  <c r="E139" i="1"/>
  <c r="N139" i="1"/>
  <c r="N138" i="1"/>
  <c r="N137" i="1"/>
  <c r="X34" i="1"/>
  <c r="X35" i="1" s="1"/>
  <c r="AF137" i="1"/>
  <c r="K135" i="1"/>
  <c r="AN82" i="1"/>
  <c r="AJ22" i="1"/>
  <c r="AL28" i="1"/>
  <c r="AN81" i="1"/>
  <c r="AN79" i="1"/>
  <c r="AL30" i="1"/>
  <c r="AK32" i="1"/>
  <c r="AL32" i="1"/>
  <c r="AK29" i="1"/>
  <c r="AL29" i="1"/>
  <c r="G10" i="8" s="1"/>
  <c r="F16" i="4"/>
  <c r="AM80" i="1"/>
  <c r="AJ98" i="1"/>
  <c r="AK33" i="1"/>
  <c r="AL33" i="1"/>
  <c r="AL31" i="1"/>
  <c r="AJ134" i="1"/>
  <c r="AJ135" i="1" s="1"/>
  <c r="G23" i="4" s="1"/>
  <c r="G14" i="8" s="1"/>
  <c r="T14" i="8" s="1"/>
  <c r="U14" i="8" s="1"/>
  <c r="AJ69" i="1"/>
  <c r="E27" i="4" s="1"/>
  <c r="AK44" i="1"/>
  <c r="AK69" i="1" s="1"/>
  <c r="AK9" i="1"/>
  <c r="AK11" i="1" s="1"/>
  <c r="AJ11" i="1"/>
  <c r="F138" i="1"/>
  <c r="F137" i="1"/>
  <c r="F139" i="1"/>
  <c r="AK15" i="1"/>
  <c r="AK24" i="1" s="1"/>
  <c r="AJ24" i="1"/>
  <c r="AM81" i="1"/>
  <c r="E35" i="1"/>
  <c r="AK62" i="1"/>
  <c r="AJ63" i="1"/>
  <c r="T139" i="1"/>
  <c r="T135" i="1"/>
  <c r="T138" i="1"/>
  <c r="T136" i="1"/>
  <c r="W139" i="1"/>
  <c r="W138" i="1"/>
  <c r="W136" i="1"/>
  <c r="AK66" i="1"/>
  <c r="AJ67" i="1"/>
  <c r="AK36" i="1"/>
  <c r="W137" i="1"/>
  <c r="AJ41" i="1"/>
  <c r="G20" i="4" s="1"/>
  <c r="AK40" i="1"/>
  <c r="AK41" i="1" s="1"/>
  <c r="U139" i="1"/>
  <c r="U136" i="1"/>
  <c r="U135" i="1"/>
  <c r="U138" i="1"/>
  <c r="AM83" i="1"/>
  <c r="AN85" i="1"/>
  <c r="AM79" i="1"/>
  <c r="V139" i="1"/>
  <c r="V136" i="1"/>
  <c r="V138" i="1"/>
  <c r="Y138" i="1"/>
  <c r="Y139" i="1"/>
  <c r="Y135" i="1"/>
  <c r="Y136" i="1"/>
  <c r="AF139" i="1"/>
  <c r="AF138" i="1"/>
  <c r="AF135" i="1"/>
  <c r="AK4" i="1"/>
  <c r="AK58" i="1"/>
  <c r="AJ59" i="1"/>
  <c r="AJ16" i="1"/>
  <c r="O138" i="1"/>
  <c r="O139" i="1"/>
  <c r="O137" i="1"/>
  <c r="AJ37" i="1"/>
  <c r="AK37" i="1" s="1"/>
  <c r="E38" i="1"/>
  <c r="AJ88" i="1"/>
  <c r="AN83" i="1" s="1"/>
  <c r="AK3" i="1"/>
  <c r="AJ50" i="1"/>
  <c r="AL47" i="1"/>
  <c r="AK49" i="1"/>
  <c r="AK57" i="1"/>
  <c r="AL68" i="1"/>
  <c r="AJ68" i="1"/>
  <c r="D27" i="4" s="1"/>
  <c r="AM82" i="1"/>
  <c r="J139" i="1"/>
  <c r="J138" i="1"/>
  <c r="J136" i="1"/>
  <c r="K139" i="1"/>
  <c r="K136" i="1"/>
  <c r="K138" i="1"/>
  <c r="AL42" i="1"/>
  <c r="AK45" i="1"/>
  <c r="AJ46" i="1"/>
  <c r="I139" i="1"/>
  <c r="I138" i="1"/>
  <c r="I136" i="1"/>
  <c r="I135" i="1"/>
  <c r="V135" i="1"/>
  <c r="AA138" i="1"/>
  <c r="AA139" i="1"/>
  <c r="AA137" i="1"/>
  <c r="AK6" i="1"/>
  <c r="AK8" i="1" s="1"/>
  <c r="AJ8" i="1"/>
  <c r="J135" i="1"/>
  <c r="AC138" i="1"/>
  <c r="AC139" i="1"/>
  <c r="AN84" i="1"/>
  <c r="O136" i="1"/>
  <c r="AD138" i="1"/>
  <c r="AD139" i="1"/>
  <c r="AD137" i="1"/>
  <c r="F136" i="1"/>
  <c r="AK53" i="1"/>
  <c r="AJ54" i="1"/>
  <c r="AL51" i="1"/>
  <c r="AD135" i="1"/>
  <c r="AJ34" i="1" l="1"/>
  <c r="AK54" i="1"/>
  <c r="AK38" i="1"/>
  <c r="AK50" i="1"/>
  <c r="G24" i="4"/>
  <c r="G16" i="8" s="1"/>
  <c r="T17" i="8" s="1"/>
  <c r="U17" i="8" s="1"/>
  <c r="AM33" i="1"/>
  <c r="G9" i="8" s="1"/>
  <c r="AJ136" i="1"/>
  <c r="G22" i="4" s="1"/>
  <c r="G13" i="8" s="1"/>
  <c r="T15" i="8" s="1"/>
  <c r="U15" i="8" s="1"/>
  <c r="G31" i="4"/>
  <c r="G17" i="8" s="1"/>
  <c r="T19" i="8" s="1"/>
  <c r="AK59" i="1"/>
  <c r="AK63" i="1"/>
  <c r="AK5" i="1"/>
  <c r="AJ38" i="1"/>
  <c r="G19" i="4" s="1"/>
  <c r="AK34" i="1"/>
  <c r="AK35" i="1" s="1"/>
  <c r="AJ35" i="1"/>
  <c r="AK67" i="1"/>
  <c r="AK68" i="1"/>
  <c r="AK46" i="1"/>
  <c r="AK134" i="1"/>
  <c r="AJ139" i="1"/>
  <c r="G30" i="4" s="1"/>
  <c r="G18" i="8" s="1"/>
  <c r="T18" i="8" s="1"/>
  <c r="X48" i="10" l="1"/>
  <c r="T48" i="10"/>
  <c r="X47" i="10"/>
  <c r="T47" i="10"/>
  <c r="X41" i="10"/>
  <c r="X40" i="10"/>
  <c r="X39" i="10"/>
  <c r="X38" i="10"/>
  <c r="R38" i="10"/>
  <c r="X37" i="10"/>
  <c r="R37" i="10"/>
  <c r="R36" i="10"/>
  <c r="R35" i="10"/>
  <c r="S34" i="10"/>
  <c r="R34" i="10"/>
  <c r="R33" i="10"/>
  <c r="R32" i="10"/>
  <c r="O32" i="10"/>
  <c r="R31" i="10"/>
  <c r="O31" i="10"/>
  <c r="R30" i="10"/>
  <c r="O30" i="10"/>
  <c r="R29" i="10"/>
  <c r="O29" i="10"/>
  <c r="R28" i="10"/>
  <c r="O28" i="10"/>
  <c r="O26" i="10"/>
  <c r="U38" i="10" s="1"/>
  <c r="O25" i="10"/>
  <c r="W23" i="10" s="1"/>
  <c r="S24" i="10"/>
  <c r="T38" i="10" s="1"/>
  <c r="O24" i="10"/>
  <c r="S23" i="10"/>
  <c r="T37" i="10" s="1"/>
  <c r="O23" i="10"/>
  <c r="S22" i="10"/>
  <c r="T36" i="10" s="1"/>
  <c r="O22" i="10"/>
  <c r="T21" i="10"/>
  <c r="Y40" i="10" s="1"/>
  <c r="O21" i="10"/>
  <c r="T20" i="10"/>
  <c r="O20" i="10"/>
  <c r="T19" i="10"/>
  <c r="S18" i="10"/>
  <c r="T32" i="10" s="1"/>
  <c r="O18" i="10"/>
  <c r="T17" i="10"/>
  <c r="Y39" i="10" s="1"/>
  <c r="O17" i="10"/>
  <c r="S16" i="10"/>
  <c r="T16" i="10" s="1"/>
  <c r="O16" i="10"/>
  <c r="T15" i="10"/>
  <c r="Y38" i="10" s="1"/>
  <c r="O15" i="10"/>
  <c r="S14" i="10"/>
  <c r="T28" i="10" s="1"/>
  <c r="O14" i="10"/>
  <c r="U32" i="10" s="1"/>
  <c r="O13" i="10"/>
  <c r="U28" i="10" s="1"/>
  <c r="O12" i="10"/>
  <c r="W16" i="10" s="1"/>
  <c r="O11" i="10"/>
  <c r="U36" i="10" s="1"/>
  <c r="O9" i="10"/>
  <c r="G9" i="10"/>
  <c r="O8" i="10"/>
  <c r="O6" i="10"/>
  <c r="T5" i="10"/>
  <c r="S5" i="10"/>
  <c r="O5" i="10"/>
  <c r="V4" i="10"/>
  <c r="V6" i="10" s="1"/>
  <c r="U4" i="10"/>
  <c r="U6" i="10" s="1"/>
  <c r="T4" i="10"/>
  <c r="S4" i="10"/>
  <c r="O4" i="10"/>
  <c r="S39" i="10" l="1"/>
  <c r="S6" i="10"/>
  <c r="T30" i="10"/>
  <c r="W22" i="10"/>
  <c r="T6" i="10"/>
  <c r="W6" i="10" s="1"/>
  <c r="W5" i="10"/>
  <c r="H10" i="10"/>
  <c r="U37" i="10"/>
  <c r="U30" i="10"/>
  <c r="Y41" i="10"/>
  <c r="T22" i="10"/>
  <c r="T24" i="10"/>
  <c r="W24" i="10"/>
  <c r="W4" i="10"/>
  <c r="T14" i="10"/>
  <c r="W14" i="10"/>
  <c r="T18" i="10"/>
  <c r="T23" i="10"/>
  <c r="U19" i="8"/>
  <c r="W25" i="8" s="1"/>
  <c r="U18" i="8"/>
  <c r="W24" i="8" s="1"/>
  <c r="U16" i="8"/>
  <c r="P33" i="8"/>
  <c r="P32" i="8"/>
  <c r="P31" i="8"/>
  <c r="P29" i="8"/>
  <c r="P27" i="8"/>
  <c r="X19" i="8" s="1"/>
  <c r="P26" i="8"/>
  <c r="X18" i="8" s="1"/>
  <c r="P25" i="8"/>
  <c r="P24" i="8"/>
  <c r="P23" i="8"/>
  <c r="P22" i="8"/>
  <c r="P21" i="8"/>
  <c r="P19" i="8"/>
  <c r="P18" i="8"/>
  <c r="P17" i="8"/>
  <c r="P16" i="8"/>
  <c r="P15" i="8"/>
  <c r="X17" i="8" s="1"/>
  <c r="P14" i="8"/>
  <c r="X14" i="8" s="1"/>
  <c r="P13" i="8"/>
  <c r="X15" i="8" s="1"/>
  <c r="P12" i="8"/>
  <c r="X16" i="8" s="1"/>
  <c r="P9" i="8"/>
  <c r="P8" i="8"/>
  <c r="H10" i="8" s="1"/>
  <c r="P6" i="8"/>
  <c r="P5" i="8"/>
  <c r="W6" i="8"/>
  <c r="V6" i="8"/>
  <c r="U39" i="10" l="1"/>
  <c r="Y4" i="10"/>
  <c r="W23" i="8"/>
  <c r="X5" i="8"/>
  <c r="T6" i="8"/>
  <c r="U6" i="8"/>
  <c r="V7" i="10"/>
  <c r="U7" i="10"/>
  <c r="T7" i="10"/>
  <c r="Y47" i="10"/>
  <c r="S7" i="10"/>
  <c r="X4" i="8"/>
  <c r="Y7" i="10" l="1"/>
  <c r="Y6" i="10"/>
  <c r="Y5" i="10"/>
  <c r="Z4" i="8"/>
  <c r="Z7" i="8" s="1"/>
  <c r="Y48" i="10"/>
  <c r="X6" i="8"/>
  <c r="V7" i="8" s="1"/>
  <c r="H9" i="10"/>
  <c r="U47" i="10"/>
  <c r="W7" i="10"/>
  <c r="Z5" i="8" l="1"/>
  <c r="Z6" i="8"/>
  <c r="T7" i="8"/>
  <c r="U7" i="8"/>
  <c r="W7" i="8"/>
  <c r="H27" i="8"/>
  <c r="U48" i="10"/>
  <c r="H9" i="8" l="1"/>
  <c r="X7" i="8"/>
  <c r="O9" i="5"/>
  <c r="T47" i="6" l="1"/>
  <c r="T48" i="6"/>
  <c r="R35" i="6"/>
  <c r="X48" i="6"/>
  <c r="T49" i="6"/>
  <c r="X47" i="6"/>
  <c r="X41" i="6"/>
  <c r="X40" i="6"/>
  <c r="X39" i="6"/>
  <c r="X38" i="6"/>
  <c r="R38" i="6"/>
  <c r="X37" i="6"/>
  <c r="R37" i="6"/>
  <c r="R36" i="6"/>
  <c r="S34" i="6"/>
  <c r="R34" i="6"/>
  <c r="R33" i="6"/>
  <c r="R32" i="6"/>
  <c r="O32" i="6"/>
  <c r="R31" i="6"/>
  <c r="O31" i="6"/>
  <c r="R30" i="6"/>
  <c r="O30" i="6"/>
  <c r="R29" i="6"/>
  <c r="O29" i="6"/>
  <c r="R28" i="6"/>
  <c r="O28" i="6"/>
  <c r="O26" i="6"/>
  <c r="W24" i="6" s="1"/>
  <c r="O25" i="6"/>
  <c r="W23" i="6" s="1"/>
  <c r="S24" i="6"/>
  <c r="T24" i="6" s="1"/>
  <c r="O24" i="6"/>
  <c r="S23" i="6"/>
  <c r="T37" i="6" s="1"/>
  <c r="O23" i="6"/>
  <c r="S22" i="6"/>
  <c r="T36" i="6" s="1"/>
  <c r="O22" i="6"/>
  <c r="T21" i="6"/>
  <c r="Y40" i="6" s="1"/>
  <c r="O21" i="6"/>
  <c r="T20" i="6"/>
  <c r="O20" i="6"/>
  <c r="T19" i="6"/>
  <c r="S18" i="6"/>
  <c r="T32" i="6" s="1"/>
  <c r="O18" i="6"/>
  <c r="T17" i="6"/>
  <c r="Y39" i="6" s="1"/>
  <c r="O17" i="6"/>
  <c r="S16" i="6"/>
  <c r="T16" i="6" s="1"/>
  <c r="O16" i="6"/>
  <c r="T15" i="6"/>
  <c r="Y38" i="6" s="1"/>
  <c r="O15" i="6"/>
  <c r="S14" i="6"/>
  <c r="T14" i="6" s="1"/>
  <c r="O14" i="6"/>
  <c r="U32" i="6" s="1"/>
  <c r="O13" i="6"/>
  <c r="U28" i="6" s="1"/>
  <c r="O12" i="6"/>
  <c r="W16" i="6" s="1"/>
  <c r="O11" i="6"/>
  <c r="U36" i="6" s="1"/>
  <c r="G9" i="6"/>
  <c r="O8" i="6"/>
  <c r="O6" i="6"/>
  <c r="T5" i="6"/>
  <c r="S5" i="6"/>
  <c r="O5" i="6"/>
  <c r="V4" i="6"/>
  <c r="V6" i="6" s="1"/>
  <c r="U4" i="6"/>
  <c r="U6" i="6" s="1"/>
  <c r="T4" i="6"/>
  <c r="S4" i="6"/>
  <c r="O4" i="6"/>
  <c r="S39" i="6" l="1"/>
  <c r="U38" i="6"/>
  <c r="H10" i="6"/>
  <c r="W4" i="6"/>
  <c r="T6" i="6"/>
  <c r="Y4" i="6" s="1"/>
  <c r="Y7" i="6" s="1"/>
  <c r="W5" i="6"/>
  <c r="W14" i="6"/>
  <c r="T28" i="6"/>
  <c r="S6" i="6"/>
  <c r="W6" i="6" s="1"/>
  <c r="U7" i="6" s="1"/>
  <c r="T38" i="6"/>
  <c r="U37" i="6"/>
  <c r="Y41" i="6"/>
  <c r="T18" i="6"/>
  <c r="T22" i="6"/>
  <c r="W22" i="6"/>
  <c r="T30" i="6"/>
  <c r="U30" i="6"/>
  <c r="T23" i="6"/>
  <c r="T7" i="6" l="1"/>
  <c r="V7" i="6"/>
  <c r="Y6" i="6"/>
  <c r="Y5" i="6"/>
  <c r="H9" i="6"/>
  <c r="S7" i="6"/>
  <c r="W7" i="6" s="1"/>
  <c r="U39" i="6"/>
  <c r="Y47" i="6"/>
  <c r="Y48" i="6" s="1"/>
  <c r="T15" i="5" l="1"/>
  <c r="G9" i="5"/>
  <c r="U49" i="6" l="1"/>
  <c r="T48" i="5"/>
  <c r="T47" i="5"/>
  <c r="T20" i="5"/>
  <c r="X48" i="5"/>
  <c r="X47" i="5"/>
  <c r="X41" i="5"/>
  <c r="X40" i="5"/>
  <c r="X39" i="5"/>
  <c r="X38" i="5"/>
  <c r="X37" i="5"/>
  <c r="R29" i="5" l="1"/>
  <c r="R30" i="5"/>
  <c r="R31" i="5"/>
  <c r="R32" i="5"/>
  <c r="R33" i="5"/>
  <c r="R34" i="5"/>
  <c r="R35" i="5"/>
  <c r="R36" i="5"/>
  <c r="R37" i="5"/>
  <c r="R38" i="5"/>
  <c r="R28" i="5"/>
  <c r="S39" i="5" s="1"/>
  <c r="S34" i="5"/>
  <c r="S24" i="5"/>
  <c r="T38" i="5" s="1"/>
  <c r="S23" i="5"/>
  <c r="T37" i="5" s="1"/>
  <c r="S18" i="5"/>
  <c r="T32" i="5" s="1"/>
  <c r="S22" i="5"/>
  <c r="T36" i="5" s="1"/>
  <c r="S16" i="5"/>
  <c r="T30" i="5" s="1"/>
  <c r="S14" i="5"/>
  <c r="T28" i="5" l="1"/>
  <c r="T14" i="5"/>
  <c r="T24" i="5"/>
  <c r="G29" i="5" l="1"/>
  <c r="G29" i="10"/>
  <c r="G25" i="8"/>
  <c r="G29" i="6"/>
  <c r="T23" i="5"/>
  <c r="T22" i="5"/>
  <c r="T21" i="5"/>
  <c r="Y40" i="5" s="1"/>
  <c r="T19" i="5"/>
  <c r="T18" i="5"/>
  <c r="T17" i="5"/>
  <c r="Y39" i="5" s="1"/>
  <c r="T16" i="5"/>
  <c r="Y38" i="5"/>
  <c r="Y41" i="5" l="1"/>
  <c r="Y47" i="5" s="1"/>
  <c r="Y48" i="5" s="1"/>
  <c r="H36" i="4"/>
  <c r="H20" i="4"/>
  <c r="O19" i="10" l="1"/>
  <c r="P20" i="8"/>
  <c r="O19" i="6"/>
  <c r="O7" i="10"/>
  <c r="P7" i="8"/>
  <c r="O7" i="6"/>
  <c r="U47" i="5"/>
  <c r="U48" i="5" l="1"/>
  <c r="O18" i="5"/>
  <c r="O19" i="5"/>
  <c r="G26" i="10" l="1"/>
  <c r="H26" i="10" s="1"/>
  <c r="G22" i="8"/>
  <c r="H22" i="8" s="1"/>
  <c r="G26" i="6"/>
  <c r="H26" i="6" s="1"/>
  <c r="T5" i="5"/>
  <c r="S5" i="5"/>
  <c r="V4" i="5"/>
  <c r="U4" i="5"/>
  <c r="T4" i="5"/>
  <c r="S4" i="5"/>
  <c r="E24" i="4"/>
  <c r="E23" i="4"/>
  <c r="D23" i="4"/>
  <c r="E22" i="4"/>
  <c r="D22" i="4"/>
  <c r="F15" i="4"/>
  <c r="G14" i="4"/>
  <c r="F12" i="4"/>
  <c r="E12" i="4"/>
  <c r="D12" i="4"/>
  <c r="G8" i="4"/>
  <c r="G7" i="4"/>
  <c r="G6" i="4"/>
  <c r="G8" i="10" l="1"/>
  <c r="H8" i="10" s="1"/>
  <c r="G8" i="8"/>
  <c r="G8" i="6"/>
  <c r="H8" i="6" s="1"/>
  <c r="G28" i="10"/>
  <c r="G24" i="8"/>
  <c r="G28" i="6"/>
  <c r="G5" i="10"/>
  <c r="H5" i="10" s="1"/>
  <c r="G5" i="8"/>
  <c r="G5" i="6"/>
  <c r="H5" i="6" s="1"/>
  <c r="G31" i="10"/>
  <c r="H31" i="10" s="1"/>
  <c r="G31" i="6"/>
  <c r="H31" i="6" s="1"/>
  <c r="G27" i="10"/>
  <c r="H27" i="10" s="1"/>
  <c r="G23" i="8"/>
  <c r="H23" i="8" s="1"/>
  <c r="G27" i="6"/>
  <c r="H27" i="6" s="1"/>
  <c r="G4" i="10"/>
  <c r="G4" i="8"/>
  <c r="G4" i="6"/>
  <c r="G13" i="10"/>
  <c r="L13" i="10" s="1"/>
  <c r="G13" i="6"/>
  <c r="L13" i="6" s="1"/>
  <c r="W8" i="10"/>
  <c r="X10" i="8"/>
  <c r="W8" i="6"/>
  <c r="W10" i="6" s="1"/>
  <c r="G14" i="10"/>
  <c r="L14" i="10" s="1"/>
  <c r="G14" i="6"/>
  <c r="L14" i="6" s="1"/>
  <c r="W9" i="10"/>
  <c r="W9" i="6"/>
  <c r="G6" i="10"/>
  <c r="H6" i="10" s="1"/>
  <c r="G6" i="8"/>
  <c r="G6" i="6"/>
  <c r="H6" i="6" s="1"/>
  <c r="G22" i="10"/>
  <c r="G22" i="6"/>
  <c r="G22" i="5"/>
  <c r="G24" i="10"/>
  <c r="G20" i="8"/>
  <c r="G24" i="6"/>
  <c r="G15" i="10"/>
  <c r="G15" i="6"/>
  <c r="G16" i="10"/>
  <c r="L16" i="10" s="1"/>
  <c r="G16" i="6"/>
  <c r="L16" i="6" s="1"/>
  <c r="G21" i="10"/>
  <c r="G21" i="6"/>
  <c r="G21" i="5"/>
  <c r="G7" i="10"/>
  <c r="G7" i="8"/>
  <c r="G7" i="6"/>
  <c r="G23" i="10"/>
  <c r="G19" i="8"/>
  <c r="G23" i="6"/>
  <c r="O31" i="5"/>
  <c r="O30" i="5"/>
  <c r="W10" i="10" l="1"/>
  <c r="Z40" i="10" s="1"/>
  <c r="X24" i="8"/>
  <c r="Y18" i="8" s="1"/>
  <c r="H18" i="8" s="1"/>
  <c r="X25" i="8"/>
  <c r="Y19" i="8" s="1"/>
  <c r="H17" i="8" s="1"/>
  <c r="X23" i="8"/>
  <c r="Y17" i="8" s="1"/>
  <c r="H16" i="8" s="1"/>
  <c r="Y14" i="8"/>
  <c r="H14" i="8" s="1"/>
  <c r="H13" i="8"/>
  <c r="H20" i="8"/>
  <c r="H24" i="10"/>
  <c r="Z39" i="6"/>
  <c r="V47" i="6"/>
  <c r="Z38" i="6"/>
  <c r="V48" i="6"/>
  <c r="Z40" i="6"/>
  <c r="Z37" i="6"/>
  <c r="X14" i="6"/>
  <c r="Z41" i="6"/>
  <c r="Z48" i="6"/>
  <c r="Z47" i="6"/>
  <c r="V49" i="6"/>
  <c r="H29" i="6"/>
  <c r="K29" i="6"/>
  <c r="H25" i="10"/>
  <c r="Z39" i="10"/>
  <c r="X14" i="10"/>
  <c r="Z41" i="10"/>
  <c r="Z38" i="10"/>
  <c r="Z37" i="10"/>
  <c r="Z47" i="10"/>
  <c r="Z48" i="10"/>
  <c r="V47" i="10"/>
  <c r="V48" i="10"/>
  <c r="H29" i="10"/>
  <c r="H23" i="6"/>
  <c r="H23" i="10"/>
  <c r="H4" i="6"/>
  <c r="H7" i="6"/>
  <c r="H28" i="6"/>
  <c r="L15" i="10"/>
  <c r="K15" i="10"/>
  <c r="H24" i="8"/>
  <c r="H24" i="6"/>
  <c r="H4" i="10"/>
  <c r="H7" i="10"/>
  <c r="H28" i="10"/>
  <c r="H19" i="8"/>
  <c r="H21" i="8"/>
  <c r="Y16" i="8"/>
  <c r="H15" i="8" s="1"/>
  <c r="H25" i="8"/>
  <c r="L15" i="6"/>
  <c r="K15" i="6"/>
  <c r="O8" i="5"/>
  <c r="O26" i="5"/>
  <c r="O25" i="5"/>
  <c r="U37" i="5" s="1"/>
  <c r="H31" i="8" l="1"/>
  <c r="H33" i="8" s="1"/>
  <c r="Z42" i="10"/>
  <c r="X16" i="10" s="1"/>
  <c r="H13" i="10" s="1"/>
  <c r="Z42" i="6"/>
  <c r="X16" i="6" s="1"/>
  <c r="H13" i="6" s="1"/>
  <c r="Z49" i="6"/>
  <c r="X18" i="6" s="1"/>
  <c r="H16" i="6" s="1"/>
  <c r="H14" i="6"/>
  <c r="V49" i="10"/>
  <c r="X23" i="10" s="1"/>
  <c r="H22" i="10" s="1"/>
  <c r="Z49" i="10"/>
  <c r="X18" i="10" s="1"/>
  <c r="H16" i="10" s="1"/>
  <c r="V50" i="6"/>
  <c r="X23" i="6" s="1"/>
  <c r="H22" i="6" s="1"/>
  <c r="H14" i="10"/>
  <c r="U38" i="5"/>
  <c r="W24" i="5"/>
  <c r="W23" i="5"/>
  <c r="X25" i="10" l="1"/>
  <c r="H36" i="10"/>
  <c r="X25" i="6"/>
  <c r="O29" i="5"/>
  <c r="K36" i="10" l="1"/>
  <c r="H38" i="10"/>
  <c r="O32" i="5"/>
  <c r="O28" i="5" l="1"/>
  <c r="O24" i="5"/>
  <c r="O23" i="5"/>
  <c r="O22" i="5"/>
  <c r="O21" i="5"/>
  <c r="O20" i="5"/>
  <c r="O17" i="5"/>
  <c r="O16" i="5"/>
  <c r="O15" i="5"/>
  <c r="O14" i="5" l="1"/>
  <c r="U32" i="5" s="1"/>
  <c r="O13" i="5"/>
  <c r="O12" i="5"/>
  <c r="O11" i="5"/>
  <c r="W22" i="5" l="1"/>
  <c r="U36" i="5"/>
  <c r="W16" i="5"/>
  <c r="U30" i="5"/>
  <c r="W14" i="5"/>
  <c r="U28" i="5"/>
  <c r="K15" i="4"/>
  <c r="G27" i="5"/>
  <c r="G26" i="5"/>
  <c r="U39" i="5" l="1"/>
  <c r="F17" i="4"/>
  <c r="K17" i="4" s="1"/>
  <c r="O7" i="5"/>
  <c r="O6" i="5"/>
  <c r="O5" i="5"/>
  <c r="G8" i="5"/>
  <c r="G7" i="5"/>
  <c r="G25" i="6"/>
  <c r="H25" i="6" s="1"/>
  <c r="H36" i="6" s="1"/>
  <c r="G5" i="5"/>
  <c r="G4" i="5"/>
  <c r="G31" i="5"/>
  <c r="G28" i="5"/>
  <c r="W9" i="5"/>
  <c r="F29" i="4"/>
  <c r="F24" i="4"/>
  <c r="F21" i="4"/>
  <c r="F20" i="4"/>
  <c r="F8" i="4"/>
  <c r="F7" i="4"/>
  <c r="O4" i="5"/>
  <c r="K36" i="6" l="1"/>
  <c r="H38" i="6"/>
  <c r="W5" i="5"/>
  <c r="F14" i="4"/>
  <c r="K14" i="4" s="1"/>
  <c r="F13" i="4"/>
  <c r="K13" i="4" s="1"/>
  <c r="K19" i="4" s="1"/>
  <c r="F23" i="4"/>
  <c r="F22" i="4"/>
  <c r="F32" i="4"/>
  <c r="W8" i="5"/>
  <c r="W10" i="5" s="1"/>
  <c r="F6" i="4"/>
  <c r="W4" i="5"/>
  <c r="V6" i="5"/>
  <c r="U6" i="5"/>
  <c r="T6" i="5"/>
  <c r="S6" i="5"/>
  <c r="K20" i="4" l="1"/>
  <c r="Y4" i="5"/>
  <c r="Y7" i="5" s="1"/>
  <c r="W6" i="5"/>
  <c r="H29" i="5" s="1"/>
  <c r="X14" i="5" l="1"/>
  <c r="H14" i="5" s="1"/>
  <c r="V47" i="5"/>
  <c r="Z37" i="5"/>
  <c r="Z41" i="5"/>
  <c r="Z38" i="5"/>
  <c r="Z39" i="5"/>
  <c r="Z40" i="5"/>
  <c r="V48" i="5"/>
  <c r="Z47" i="5"/>
  <c r="Z48" i="5"/>
  <c r="Y6" i="5"/>
  <c r="H26" i="5"/>
  <c r="H27" i="5"/>
  <c r="T7" i="5"/>
  <c r="H31" i="5"/>
  <c r="H28" i="5"/>
  <c r="H25" i="5"/>
  <c r="Y5" i="5"/>
  <c r="S7" i="5"/>
  <c r="H8" i="5" s="1"/>
  <c r="V7" i="5"/>
  <c r="U7" i="5"/>
  <c r="H5" i="5" s="1"/>
  <c r="V49" i="5" l="1"/>
  <c r="X23" i="5" s="1"/>
  <c r="H22" i="5" s="1"/>
  <c r="H4" i="5"/>
  <c r="H9" i="5"/>
  <c r="Z49" i="5"/>
  <c r="X18" i="5" s="1"/>
  <c r="H16" i="5" s="1"/>
  <c r="Z42" i="5"/>
  <c r="X16" i="5" s="1"/>
  <c r="H13" i="5" s="1"/>
  <c r="G23" i="5"/>
  <c r="H23" i="5" s="1"/>
  <c r="W7" i="5"/>
  <c r="G6" i="5"/>
  <c r="X25" i="5" l="1"/>
  <c r="H6" i="5"/>
  <c r="H7" i="5"/>
  <c r="G24" i="5"/>
  <c r="H24" i="5" s="1"/>
  <c r="H10" i="5"/>
  <c r="G15" i="5" l="1"/>
  <c r="G14" i="5"/>
  <c r="G13" i="5"/>
  <c r="G16" i="5"/>
  <c r="L16" i="5" s="1"/>
  <c r="L15" i="5" l="1"/>
  <c r="K15" i="5"/>
  <c r="H36" i="5" l="1"/>
  <c r="L14" i="5"/>
  <c r="L13" i="5"/>
  <c r="K36" i="5" l="1"/>
  <c r="H3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Technical Head PA</author>
  </authors>
  <commentList>
    <comment ref="M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Technical Head PA:</t>
        </r>
        <r>
          <rPr>
            <sz val="9"/>
            <color indexed="81"/>
            <rFont val="Tahoma"/>
            <family val="2"/>
          </rPr>
          <t xml:space="preserve">
392 MT LS having 7659 CV is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 Prakash Agrawal</author>
  </authors>
  <commentList>
    <comment ref="H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Accouts VC Sheet.</t>
        </r>
      </text>
    </comment>
    <comment ref="G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Accounts VC Sheet.</t>
        </r>
      </text>
    </comment>
    <comment ref="D2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Accounts VC Sheet.</t>
        </r>
      </text>
    </comment>
    <comment ref="E2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Accounts VC Sheet.</t>
        </r>
      </text>
    </comment>
    <comment ref="H26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Accounts VC Sheet.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 Prakash Agrawal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actual 23-24 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All from MoM Dashboard 15.04.2024 Day wsie sheet.</t>
        </r>
      </text>
    </comment>
    <comment ref="C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Review later
</t>
        </r>
      </text>
    </comment>
    <comment ref="E1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baseline sheet</t>
        </r>
      </text>
    </comment>
    <comment ref="O1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SAUDI fuel price</t>
        </r>
      </text>
    </comment>
    <comment ref="Q2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  <comment ref="G2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power deptt.</t>
        </r>
      </text>
    </comment>
    <comment ref="H3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Chandra Prakash Agrawal:
</t>
        </r>
        <r>
          <rPr>
            <sz val="9"/>
            <color indexed="81"/>
            <rFont val="Tahoma"/>
            <family val="2"/>
          </rPr>
          <t xml:space="preserve">
from logistics sheet</t>
        </r>
      </text>
    </comment>
    <comment ref="Q37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 Prakash Agrawal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actual 23-24 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All from MoM Dashboard 15.04.2024 Day wsie sheet.</t>
        </r>
      </text>
    </comment>
    <comment ref="C1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Review later
</t>
        </r>
      </text>
    </comment>
    <comment ref="E1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baseline sheet</t>
        </r>
      </text>
    </comment>
    <comment ref="O1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SAUDI fuel price</t>
        </r>
      </text>
    </comment>
    <comment ref="Q2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  <comment ref="G2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power deptt.</t>
        </r>
      </text>
    </comment>
    <comment ref="H3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Chandra Prakash Agrawal:
</t>
        </r>
        <r>
          <rPr>
            <sz val="9"/>
            <color indexed="81"/>
            <rFont val="Tahoma"/>
            <family val="2"/>
          </rPr>
          <t xml:space="preserve">
from logistics sheet</t>
        </r>
      </text>
    </comment>
    <comment ref="Q3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 Prakash Agrawal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actual 23-24 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All from MoM Dashboard 15.04.2024 Day wsie sheet.</t>
        </r>
      </text>
    </comment>
    <comment ref="C1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Review later
</t>
        </r>
      </text>
    </comment>
    <comment ref="E1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baseline sheet</t>
        </r>
      </text>
    </comment>
    <comment ref="P1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SAUDI fuel price</t>
        </r>
      </text>
    </comment>
    <comment ref="G2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power deptt.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 Prakash Agrawal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actual 23-24 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All from MoM Dashboard 15.04.2024 Day wsie sheet.</t>
        </r>
      </text>
    </comment>
    <comment ref="C10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Review later
</t>
        </r>
      </text>
    </comment>
    <comment ref="E1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baseline sheet</t>
        </r>
      </text>
    </comment>
    <comment ref="O10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SAUDI fuel price</t>
        </r>
      </text>
    </comment>
    <comment ref="Q23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  <comment ref="H32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 xml:space="preserve">Chandra Prakash Agrawal:
</t>
        </r>
        <r>
          <rPr>
            <sz val="9"/>
            <color indexed="81"/>
            <rFont val="Tahoma"/>
            <family val="2"/>
          </rPr>
          <t xml:space="preserve">
from logistics sheet</t>
        </r>
      </text>
    </comment>
    <comment ref="Q3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</commentList>
</comments>
</file>

<file path=xl/sharedStrings.xml><?xml version="1.0" encoding="utf-8"?>
<sst xmlns="http://schemas.openxmlformats.org/spreadsheetml/2006/main" count="1125" uniqueCount="301">
  <si>
    <t>Baseline KPI</t>
  </si>
  <si>
    <t>YTD Target</t>
  </si>
  <si>
    <t>Actual KPI</t>
  </si>
  <si>
    <t>Initiatives</t>
  </si>
  <si>
    <t>UoM</t>
  </si>
  <si>
    <t>Exp Value (INR/ToC)</t>
  </si>
  <si>
    <t>Flyash in Champion, +</t>
  </si>
  <si>
    <t>Flyash in Duratech</t>
  </si>
  <si>
    <t>Flyash in All Weather</t>
  </si>
  <si>
    <t xml:space="preserve">PI in OPC </t>
  </si>
  <si>
    <t>Saudi Petcoke</t>
  </si>
  <si>
    <t>US Petcoke</t>
  </si>
  <si>
    <t>Phospho Gypsum</t>
  </si>
  <si>
    <t>FGD Gypsum</t>
  </si>
  <si>
    <t xml:space="preserve">Activated Gypsum </t>
  </si>
  <si>
    <t>Imported in-transit losses</t>
  </si>
  <si>
    <t>Liquid AFR</t>
  </si>
  <si>
    <t>Solid AFR</t>
  </si>
  <si>
    <t>WHRS Generation</t>
  </si>
  <si>
    <t>Specific Heat Consumption Line I</t>
  </si>
  <si>
    <t>Specific Heat Consumption Line II</t>
  </si>
  <si>
    <t>Specific Power Consumption Line I</t>
  </si>
  <si>
    <t>Specific Power Consumption Line II</t>
  </si>
  <si>
    <t>Fluid Petcoke</t>
  </si>
  <si>
    <t>High S Petcoke Bina</t>
  </si>
  <si>
    <t>IOCL Petcoke</t>
  </si>
  <si>
    <t>Diesel Substitution-Procurement</t>
  </si>
  <si>
    <t>Sweetener</t>
  </si>
  <si>
    <t>Rehandling of Purchase Limestone</t>
  </si>
  <si>
    <t>Diesel Substitution- Own Vehicles</t>
  </si>
  <si>
    <t>Alternative Fuel Capability build</t>
  </si>
  <si>
    <t>Logistics Cost Reduction</t>
  </si>
  <si>
    <t>Explosive Cost Reduction</t>
  </si>
  <si>
    <t>Fuel Cost Reduction</t>
  </si>
  <si>
    <t>Power Cost Reduction</t>
  </si>
  <si>
    <t>Mining</t>
  </si>
  <si>
    <t xml:space="preserve">Conditional flyash in PPC </t>
  </si>
  <si>
    <t>CUF &amp; RM Cost Reduction</t>
  </si>
  <si>
    <t>% flyash</t>
  </si>
  <si>
    <t>% of OPC</t>
  </si>
  <si>
    <t>% alt gypsum</t>
  </si>
  <si>
    <t>% of fuel by CV</t>
  </si>
  <si>
    <t>% imported fuel</t>
  </si>
  <si>
    <t xml:space="preserve">Kcal/kg Clinker </t>
  </si>
  <si>
    <t>kWh/ToC</t>
  </si>
  <si>
    <t>% LS</t>
  </si>
  <si>
    <t>KL replacement/month</t>
  </si>
  <si>
    <t>%L1 Share</t>
  </si>
  <si>
    <t>% SOB</t>
  </si>
  <si>
    <t>Particulars</t>
  </si>
  <si>
    <t>Quantity</t>
  </si>
  <si>
    <t>Rate</t>
  </si>
  <si>
    <t>Flyash in PPC</t>
  </si>
  <si>
    <t>Flyash in DT</t>
  </si>
  <si>
    <t>Flyash in AW</t>
  </si>
  <si>
    <t xml:space="preserve">WHRS Generation </t>
  </si>
  <si>
    <t>Conditioned Flyash</t>
  </si>
  <si>
    <t>PI in OPC</t>
  </si>
  <si>
    <t>Line-I</t>
  </si>
  <si>
    <t>Line-II</t>
  </si>
  <si>
    <t>Open Market Coal</t>
  </si>
  <si>
    <t>Indegeneous Coal</t>
  </si>
  <si>
    <t>Clinker Production</t>
  </si>
  <si>
    <t>Cement Production</t>
  </si>
  <si>
    <t xml:space="preserve">Mining- Rehandling </t>
  </si>
  <si>
    <t>Mining- Sweetner</t>
  </si>
  <si>
    <t>% age</t>
  </si>
  <si>
    <t xml:space="preserve">Udaan initiatives dashboard </t>
  </si>
  <si>
    <t>#</t>
  </si>
  <si>
    <t xml:space="preserve">Udaan Initaitives </t>
  </si>
  <si>
    <t xml:space="preserve">Udaan Owner </t>
  </si>
  <si>
    <t>KPI</t>
  </si>
  <si>
    <t>Cement Production (PPC)</t>
  </si>
  <si>
    <t>Dinesh, Pravesh</t>
  </si>
  <si>
    <t>MT</t>
  </si>
  <si>
    <t xml:space="preserve">Actual fly ash consumption </t>
  </si>
  <si>
    <t>Increase flyash in PPC</t>
  </si>
  <si>
    <t xml:space="preserve">% of cement </t>
  </si>
  <si>
    <t>Cement Production (DT)</t>
  </si>
  <si>
    <t>Increase flyash in DT</t>
  </si>
  <si>
    <t>Cement Production (AW)</t>
  </si>
  <si>
    <t>Increase flyash in AW</t>
  </si>
  <si>
    <t>HP Steam Generation Line 1 (AQC-1)</t>
  </si>
  <si>
    <t>Om Prakash</t>
  </si>
  <si>
    <t>TPD</t>
  </si>
  <si>
    <t>Turbine Specific Steam Consumption</t>
  </si>
  <si>
    <t>Kg/Kwh</t>
  </si>
  <si>
    <t>Line1 WHRS Generation</t>
  </si>
  <si>
    <t>KWh</t>
  </si>
  <si>
    <t>Kiln1: WHRS generation</t>
  </si>
  <si>
    <t>HP Steam Generation Line-2 (AQC-2)</t>
  </si>
  <si>
    <t>LP Steam Generation</t>
  </si>
  <si>
    <t>Line2 WHRS Generation</t>
  </si>
  <si>
    <t>Kiln2: WHRS generation</t>
  </si>
  <si>
    <t>WHRS Gross generation</t>
  </si>
  <si>
    <t>Kiln1 &amp; 2:WHRS generation</t>
  </si>
  <si>
    <t>HSD Rate</t>
  </si>
  <si>
    <t>Chandan, Anil</t>
  </si>
  <si>
    <t>Rs/Lit</t>
  </si>
  <si>
    <t>IO Rate</t>
  </si>
  <si>
    <t>Diesel substitution upto 50%</t>
  </si>
  <si>
    <t>KL/month</t>
  </si>
  <si>
    <t>Dinesh, Pravesh, Anil</t>
  </si>
  <si>
    <t>Natural Gypsum (Unit-I)</t>
  </si>
  <si>
    <t>Natural Gypsum (Unit-II)</t>
  </si>
  <si>
    <t>Natural Gypsum in Activated Gypsum</t>
  </si>
  <si>
    <t>Limestone in Activated Gypsum</t>
  </si>
  <si>
    <t>Total gypsum usage</t>
  </si>
  <si>
    <t>Alternate gypsum usage</t>
  </si>
  <si>
    <t xml:space="preserve">% substitution </t>
  </si>
  <si>
    <t>Conditioned Ash used</t>
  </si>
  <si>
    <t>Total Fly Ash used</t>
  </si>
  <si>
    <t>Conditioned Ash usage</t>
  </si>
  <si>
    <t>Total OPC Production</t>
  </si>
  <si>
    <t xml:space="preserve">PI Addition </t>
  </si>
  <si>
    <t>PI Addtion in OPC</t>
  </si>
  <si>
    <t>Imported US Pet Coke</t>
  </si>
  <si>
    <t>Dinesh, Nikhil S</t>
  </si>
  <si>
    <t>Imported US Pet Coke CV</t>
  </si>
  <si>
    <t>Total Heat</t>
  </si>
  <si>
    <t>Imported PC Heat</t>
  </si>
  <si>
    <t>U-II Imported US Pet Coke %</t>
  </si>
  <si>
    <t>Indian Coal (Linkage)</t>
  </si>
  <si>
    <t>Indian Coal (Linkage) CV</t>
  </si>
  <si>
    <t>% conversion</t>
  </si>
  <si>
    <t>Indian Coal (Linkage) Heat</t>
  </si>
  <si>
    <t>U-II Indian Coal (Linkage) %</t>
  </si>
  <si>
    <t>Open market coal (by road) qty</t>
  </si>
  <si>
    <t>Open market coal (by road) CV</t>
  </si>
  <si>
    <t>Open market coal (by road) heat</t>
  </si>
  <si>
    <t>U-II Total open market coal %</t>
  </si>
  <si>
    <t>Imported PC Quantity</t>
  </si>
  <si>
    <t>Imported PC CV</t>
  </si>
  <si>
    <t>U-I Imported PC %</t>
  </si>
  <si>
    <t>Indian Coal Linkage</t>
  </si>
  <si>
    <t>Indian Coal Linkage CV</t>
  </si>
  <si>
    <t>Indian Coal Linkage Heat</t>
  </si>
  <si>
    <t>U-I Indian Coal Linkage %</t>
  </si>
  <si>
    <t>U-I Total open market coal %</t>
  </si>
  <si>
    <t>Unit 1: Specific Heat</t>
  </si>
  <si>
    <t>Unit 2: Specific Heat</t>
  </si>
  <si>
    <t>Unit-1 Clinker Production</t>
  </si>
  <si>
    <t>Unit-2 Clinker Production</t>
  </si>
  <si>
    <t>Solid AFR feeding</t>
  </si>
  <si>
    <t>Rs/MT</t>
  </si>
  <si>
    <t>NCV ARB</t>
  </si>
  <si>
    <t>kCal/Kg</t>
  </si>
  <si>
    <t>Line 1 Cement: Champion</t>
  </si>
  <si>
    <t>Line 1 Cement: Champion +</t>
  </si>
  <si>
    <t>Line 1 Cement: Duratech</t>
  </si>
  <si>
    <t>Line 1 Cement: All Weather</t>
  </si>
  <si>
    <t>Line 1 Cement: OPC</t>
  </si>
  <si>
    <t>Line 2 Cement: Champion</t>
  </si>
  <si>
    <t>Line 2 Cement: Champion +</t>
  </si>
  <si>
    <t>Line 2 Cement: OPC</t>
  </si>
  <si>
    <t>Total Cement Production (MT)</t>
  </si>
  <si>
    <t>Fly Ash Addition</t>
  </si>
  <si>
    <t>Line 1 Cement: OPC PI</t>
  </si>
  <si>
    <t>Line 2 Cement: OPC PI</t>
  </si>
  <si>
    <t>U1</t>
  </si>
  <si>
    <t>Liquid AFR (LCV) tons</t>
  </si>
  <si>
    <t>Liquid AFR (HCV) tons</t>
  </si>
  <si>
    <t>Avg</t>
  </si>
  <si>
    <t>Liquid AFR CV</t>
  </si>
  <si>
    <t>U2</t>
  </si>
  <si>
    <t>Unit-II: Liquid AFR CV</t>
  </si>
  <si>
    <t>Rehandling</t>
  </si>
  <si>
    <t>CS Pandit</t>
  </si>
  <si>
    <t>Purchase</t>
  </si>
  <si>
    <t>Total Mining</t>
  </si>
  <si>
    <t>Total feeding</t>
  </si>
  <si>
    <t>Sweetener Consumption in Raw Mill (Unit-I)</t>
  </si>
  <si>
    <t>Raghvendra Pandey</t>
  </si>
  <si>
    <t>Sweetener Consumption in Raw Mill (Unit-II)</t>
  </si>
  <si>
    <t>U-I</t>
  </si>
  <si>
    <t>U-II</t>
  </si>
  <si>
    <t>Conditioned ash</t>
  </si>
  <si>
    <t>Dry Ash</t>
  </si>
  <si>
    <t>Outside Feeding</t>
  </si>
  <si>
    <t>Ext Clk Fresh</t>
  </si>
  <si>
    <t>Ext Clk old</t>
  </si>
  <si>
    <t>(I+II)</t>
  </si>
  <si>
    <t>Indian coal %</t>
  </si>
  <si>
    <t>Domestic coal%</t>
  </si>
  <si>
    <t>LAFR %</t>
  </si>
  <si>
    <t>SAFR %</t>
  </si>
  <si>
    <t xml:space="preserve">Clinker </t>
  </si>
  <si>
    <t>Rs./Ton</t>
  </si>
  <si>
    <t>in Rs/Ton</t>
  </si>
  <si>
    <t xml:space="preserve">Fly Ash </t>
  </si>
  <si>
    <t xml:space="preserve">Conditioned Fly Ash </t>
  </si>
  <si>
    <t xml:space="preserve">PI </t>
  </si>
  <si>
    <t>Gypsum Natural</t>
  </si>
  <si>
    <t>Cost other than HighS</t>
  </si>
  <si>
    <t>US petcoke</t>
  </si>
  <si>
    <t xml:space="preserve">Fluid Petcoke </t>
  </si>
  <si>
    <t xml:space="preserve">Own Sweetner </t>
  </si>
  <si>
    <t xml:space="preserve">WHRS </t>
  </si>
  <si>
    <t>Kwh/ToC</t>
  </si>
  <si>
    <t xml:space="preserve">Grid </t>
  </si>
  <si>
    <t xml:space="preserve">Solar </t>
  </si>
  <si>
    <t>Fuel Line-I</t>
  </si>
  <si>
    <t>Fuel Line-II</t>
  </si>
  <si>
    <t>Avg Heat</t>
  </si>
  <si>
    <t>Avg Power Cost</t>
  </si>
  <si>
    <t>Purchase RH Cost</t>
  </si>
  <si>
    <t>Rs./Kcal</t>
  </si>
  <si>
    <t>Rs./kWh</t>
  </si>
  <si>
    <t>Kcal/kg</t>
  </si>
  <si>
    <t>OPC</t>
  </si>
  <si>
    <t>PPC</t>
  </si>
  <si>
    <t>DT</t>
  </si>
  <si>
    <t>AW</t>
  </si>
  <si>
    <t>Total</t>
  </si>
  <si>
    <t>Fuel Cost</t>
  </si>
  <si>
    <t>-</t>
  </si>
  <si>
    <t>Gross</t>
  </si>
  <si>
    <t>Limestone for activated gyspum</t>
  </si>
  <si>
    <t>Indigenious Coal</t>
  </si>
  <si>
    <t>Others</t>
  </si>
  <si>
    <t xml:space="preserve"> impact on +/- 1% UOM in KPI</t>
  </si>
  <si>
    <t xml:space="preserve"> impact on +/- 1% UoM in KPI in Total Cement</t>
  </si>
  <si>
    <t>Specific Power Consumption</t>
  </si>
  <si>
    <t>Specific Heat Consumption</t>
  </si>
  <si>
    <t>Natural Gypsum</t>
  </si>
  <si>
    <t>Open market coal</t>
  </si>
  <si>
    <t xml:space="preserve">Sweetner Purchase </t>
  </si>
  <si>
    <t>Own Sweetener</t>
  </si>
  <si>
    <t>Grid</t>
  </si>
  <si>
    <t>Solar</t>
  </si>
  <si>
    <t>TOTAL</t>
  </si>
  <si>
    <t>Activated Gypsum</t>
  </si>
  <si>
    <t>FGD Gypsum (Alternate)</t>
  </si>
  <si>
    <t>FGD Gypsum (old)</t>
  </si>
  <si>
    <t>Baseline</t>
  </si>
  <si>
    <t>Actual</t>
  </si>
  <si>
    <t>items</t>
  </si>
  <si>
    <t>Diff</t>
  </si>
  <si>
    <t>SAVING</t>
  </si>
  <si>
    <t>Fuel Reco</t>
  </si>
  <si>
    <t>Power cost Line-I</t>
  </si>
  <si>
    <t>Power cost Line-II</t>
  </si>
  <si>
    <t>Purchase Limestone</t>
  </si>
  <si>
    <t>Own Limestone</t>
  </si>
  <si>
    <t>Indian  Coal Linkage</t>
  </si>
  <si>
    <t>E-Auction Coal</t>
  </si>
  <si>
    <t>Domestic Coal (Open Market)</t>
  </si>
  <si>
    <t xml:space="preserve">Indian Pet coke </t>
  </si>
  <si>
    <t>Imported US Pet coke</t>
  </si>
  <si>
    <t>Indian Petcoke Hi-Sulphur</t>
  </si>
  <si>
    <t>Imp. Pet Coke (Low Sulphur)</t>
  </si>
  <si>
    <t>Fluid Pet Coke</t>
  </si>
  <si>
    <t>Imported Pet Coke (saudi)</t>
  </si>
  <si>
    <t>AFR (LIQUID) - HCV</t>
  </si>
  <si>
    <t>Adjustments</t>
  </si>
  <si>
    <t>RATE</t>
  </si>
  <si>
    <t>SPC - 27.21% 
EAC - 0.36% 
IPC - 0.84%
FPC - 3.32%
Ind PC HS - 1.32%</t>
  </si>
  <si>
    <t xml:space="preserve"> SPC - 24.33%</t>
  </si>
  <si>
    <t>Ind PC HS - 0.96%
Imp. PC LS  - 2.03%</t>
  </si>
  <si>
    <t>Imp PC LS - 5.42%
LAFR - 0.85%</t>
  </si>
  <si>
    <t xml:space="preserve"> Domestic coal</t>
  </si>
  <si>
    <t>Fuel</t>
  </si>
  <si>
    <t>Saving</t>
  </si>
  <si>
    <t>%</t>
  </si>
  <si>
    <t>Imported US Petcoke</t>
  </si>
  <si>
    <t>Imported PC US- 2.99%
Imp PC LS - 2.41%
LAFR - 0.85%</t>
  </si>
  <si>
    <t xml:space="preserve"> Activated Gypsum</t>
  </si>
  <si>
    <t>Activated gypsum</t>
  </si>
  <si>
    <t>Indigeneous Coal</t>
  </si>
  <si>
    <t>OPEN MARKET COAL</t>
  </si>
  <si>
    <t>Imported Petcoke (SAUDI)</t>
  </si>
  <si>
    <t>IMPORTED PETCOKE (US)</t>
  </si>
  <si>
    <t>Solid Waste</t>
  </si>
  <si>
    <t xml:space="preserve"> Liquid Waste</t>
  </si>
  <si>
    <t>SAUDI PETCOKE</t>
  </si>
  <si>
    <t>LAFR</t>
  </si>
  <si>
    <t>wrongly putted in PPT</t>
  </si>
  <si>
    <t>YTD '24 with OLD WHRS ratio</t>
  </si>
  <si>
    <t>Q4 Fuel data</t>
  </si>
  <si>
    <t>Bed Ash Gypsum</t>
  </si>
  <si>
    <t xml:space="preserve"> </t>
  </si>
  <si>
    <t>Petcoke US %</t>
  </si>
  <si>
    <t>Bed Ash</t>
  </si>
  <si>
    <t>Specific power reduction Line 1</t>
  </si>
  <si>
    <t>Specific power reduction Line 2</t>
  </si>
  <si>
    <t>Month Target</t>
  </si>
  <si>
    <t>SPC- 30.02%</t>
  </si>
  <si>
    <t>SPC- 3.29%</t>
  </si>
  <si>
    <t>SPC- 27.24%
SAFR- 2.90%
LAFR - 0.89%</t>
  </si>
  <si>
    <t>SAFR</t>
  </si>
  <si>
    <t>Cost per CV</t>
  </si>
  <si>
    <t>Rs. / Kcal</t>
  </si>
  <si>
    <t>Ind.COAL (OPEN MARKET)</t>
  </si>
  <si>
    <t>Imported Petcoke</t>
  </si>
  <si>
    <t>IMPORTED PETCOKE (LOW SULPHUR)</t>
  </si>
  <si>
    <t>JAN</t>
  </si>
  <si>
    <t>FEB</t>
  </si>
  <si>
    <t>MAR</t>
  </si>
  <si>
    <t>Clinker Prodn</t>
  </si>
  <si>
    <t>Q4</t>
  </si>
  <si>
    <t>Bed Ash Gypsum (Alternate)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</si>
</sst>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0.0"/>
    <numFmt numFmtId="167" formatCode="_(* #,##0_);_(* \(#,##0\);_(* &quot;-&quot;??_);_(@_)"/>
    <numFmt numFmtId="168" formatCode="_-* #,##0.00_-;\-* #,##0.00_-;_-* &quot;-&quot;??_-;_-@_-"/>
    <numFmt numFmtId="169" formatCode="_ * #,##0_ ;_ * \-#,##0_ ;_ * &quot;-&quot;??_ ;_ @_ "/>
    <numFmt numFmtId="170" formatCode="_ * #,##0.0_ ;_ * \-#,##0.0_ ;_ * &quot;-&quot;??_ ;_ @_ "/>
    <numFmt numFmtId="171" formatCode="0.00000"/>
    <numFmt numFmtId="172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435">
    <xf numFmtId="0" fontId="0" fillId="0" borderId="0" xfId="0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16" fontId="5" fillId="3" borderId="8" xfId="0" applyNumberFormat="1" applyFont="1" applyFill="1" applyBorder="1" applyAlignment="1">
      <alignment horizontal="center" vertical="center"/>
    </xf>
    <xf numFmtId="17" fontId="5" fillId="3" borderId="8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4" borderId="8" xfId="0" applyFill="1" applyBorder="1" applyAlignment="1">
      <alignment horizontal="center"/>
    </xf>
    <xf numFmtId="1" fontId="0" fillId="0" borderId="0" xfId="0" applyNumberFormat="1"/>
    <xf numFmtId="0" fontId="0" fillId="5" borderId="8" xfId="0" applyFill="1" applyBorder="1" applyAlignment="1">
      <alignment horizontal="left" vertical="center"/>
    </xf>
    <xf numFmtId="165" fontId="0" fillId="5" borderId="8" xfId="1" applyNumberFormat="1" applyFont="1" applyFill="1" applyBorder="1" applyAlignment="1">
      <alignment horizontal="center"/>
    </xf>
    <xf numFmtId="165" fontId="0" fillId="5" borderId="8" xfId="1" applyNumberFormat="1" applyFont="1" applyFill="1" applyBorder="1" applyAlignment="1">
      <alignment horizontal="center" vertical="center"/>
    </xf>
    <xf numFmtId="165" fontId="0" fillId="4" borderId="8" xfId="1" applyNumberFormat="1" applyFont="1" applyFill="1" applyBorder="1" applyAlignment="1">
      <alignment horizontal="center"/>
    </xf>
    <xf numFmtId="0" fontId="0" fillId="5" borderId="0" xfId="0" applyFill="1"/>
    <xf numFmtId="9" fontId="0" fillId="5" borderId="8" xfId="1" applyFont="1" applyFill="1" applyBorder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9" fontId="0" fillId="4" borderId="8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0" applyBorder="1"/>
    <xf numFmtId="2" fontId="0" fillId="0" borderId="8" xfId="0" applyNumberForma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64" fontId="7" fillId="0" borderId="8" xfId="2" applyFon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/>
    </xf>
    <xf numFmtId="3" fontId="0" fillId="0" borderId="8" xfId="0" applyNumberFormat="1" applyBorder="1" applyAlignment="1">
      <alignment horizontal="center" vertical="top"/>
    </xf>
    <xf numFmtId="3" fontId="0" fillId="4" borderId="8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6" fontId="0" fillId="5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7" fontId="7" fillId="0" borderId="8" xfId="2" applyNumberFormat="1" applyFont="1" applyFill="1" applyBorder="1" applyAlignment="1">
      <alignment horizontal="center" vertical="center"/>
    </xf>
    <xf numFmtId="167" fontId="7" fillId="0" borderId="8" xfId="3" applyNumberFormat="1" applyFont="1" applyFill="1" applyBorder="1" applyAlignment="1">
      <alignment horizontal="center" vertical="center"/>
    </xf>
    <xf numFmtId="3" fontId="0" fillId="5" borderId="8" xfId="0" applyNumberFormat="1" applyFill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167" fontId="7" fillId="6" borderId="8" xfId="3" applyNumberFormat="1" applyFont="1" applyFill="1" applyBorder="1" applyAlignment="1">
      <alignment horizontal="center" vertical="center"/>
    </xf>
    <xf numFmtId="0" fontId="0" fillId="5" borderId="8" xfId="0" applyFill="1" applyBorder="1"/>
    <xf numFmtId="0" fontId="0" fillId="0" borderId="8" xfId="0" applyBorder="1" applyAlignment="1">
      <alignment horizontal="center" vertical="top"/>
    </xf>
    <xf numFmtId="10" fontId="0" fillId="5" borderId="8" xfId="1" applyNumberFormat="1" applyFont="1" applyFill="1" applyBorder="1" applyAlignment="1">
      <alignment horizontal="center"/>
    </xf>
    <xf numFmtId="10" fontId="0" fillId="5" borderId="8" xfId="1" applyNumberFormat="1" applyFont="1" applyFill="1" applyBorder="1" applyAlignment="1">
      <alignment horizontal="center" vertical="center"/>
    </xf>
    <xf numFmtId="0" fontId="0" fillId="7" borderId="10" xfId="1" applyNumberFormat="1" applyFont="1" applyFill="1" applyBorder="1" applyAlignment="1">
      <alignment horizontal="center"/>
    </xf>
    <xf numFmtId="0" fontId="0" fillId="7" borderId="8" xfId="1" applyNumberFormat="1" applyFont="1" applyFill="1" applyBorder="1" applyAlignment="1">
      <alignment horizontal="center"/>
    </xf>
    <xf numFmtId="10" fontId="0" fillId="0" borderId="0" xfId="1" applyNumberFormat="1" applyFont="1"/>
    <xf numFmtId="1" fontId="0" fillId="7" borderId="8" xfId="1" applyNumberFormat="1" applyFont="1" applyFill="1" applyBorder="1" applyAlignment="1">
      <alignment horizontal="center"/>
    </xf>
    <xf numFmtId="1" fontId="0" fillId="0" borderId="8" xfId="0" applyNumberFormat="1" applyBorder="1" applyAlignment="1">
      <alignment horizontal="center" vertical="top"/>
    </xf>
    <xf numFmtId="9" fontId="0" fillId="5" borderId="8" xfId="1" applyFont="1" applyFill="1" applyBorder="1" applyAlignment="1">
      <alignment horizontal="center" vertical="top"/>
    </xf>
    <xf numFmtId="0" fontId="0" fillId="7" borderId="0" xfId="0" applyFill="1"/>
    <xf numFmtId="0" fontId="0" fillId="7" borderId="8" xfId="0" applyFill="1" applyBorder="1"/>
    <xf numFmtId="0" fontId="0" fillId="7" borderId="8" xfId="0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/>
    </xf>
    <xf numFmtId="167" fontId="0" fillId="7" borderId="8" xfId="2" applyNumberFormat="1" applyFont="1" applyFill="1" applyBorder="1" applyAlignment="1">
      <alignment horizontal="center"/>
    </xf>
    <xf numFmtId="0" fontId="0" fillId="5" borderId="8" xfId="1" applyNumberFormat="1" applyFont="1" applyFill="1" applyBorder="1" applyAlignment="1">
      <alignment horizontal="center"/>
    </xf>
    <xf numFmtId="167" fontId="0" fillId="7" borderId="8" xfId="2" applyNumberFormat="1" applyFont="1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top"/>
    </xf>
    <xf numFmtId="1" fontId="0" fillId="7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/>
    </xf>
    <xf numFmtId="167" fontId="0" fillId="0" borderId="8" xfId="2" applyNumberFormat="1" applyFont="1" applyFill="1" applyBorder="1" applyAlignment="1">
      <alignment horizontal="center"/>
    </xf>
    <xf numFmtId="167" fontId="0" fillId="0" borderId="8" xfId="2" applyNumberFormat="1" applyFont="1" applyFill="1" applyBorder="1" applyAlignment="1">
      <alignment horizontal="center" vertical="center"/>
    </xf>
    <xf numFmtId="167" fontId="0" fillId="7" borderId="8" xfId="2" applyNumberFormat="1" applyFont="1" applyFill="1" applyBorder="1" applyAlignment="1">
      <alignment horizontal="left"/>
    </xf>
    <xf numFmtId="167" fontId="0" fillId="7" borderId="8" xfId="3" applyNumberFormat="1" applyFont="1" applyFill="1" applyBorder="1" applyAlignment="1">
      <alignment horizontal="left"/>
    </xf>
    <xf numFmtId="164" fontId="0" fillId="0" borderId="0" xfId="0" applyNumberFormat="1"/>
    <xf numFmtId="169" fontId="0" fillId="7" borderId="8" xfId="2" applyNumberFormat="1" applyFont="1" applyFill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0" fontId="0" fillId="8" borderId="8" xfId="0" applyFill="1" applyBorder="1"/>
    <xf numFmtId="3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8" xfId="0" applyBorder="1" applyAlignment="1">
      <alignment horizontal="right"/>
    </xf>
    <xf numFmtId="165" fontId="0" fillId="0" borderId="0" xfId="1" applyNumberFormat="1" applyFont="1"/>
    <xf numFmtId="0" fontId="0" fillId="0" borderId="8" xfId="0" quotePrefix="1" applyBorder="1" applyAlignment="1">
      <alignment horizontal="center"/>
    </xf>
    <xf numFmtId="0" fontId="0" fillId="5" borderId="8" xfId="0" applyFill="1" applyBorder="1" applyAlignment="1">
      <alignment horizontal="right"/>
    </xf>
    <xf numFmtId="0" fontId="0" fillId="8" borderId="11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8" borderId="0" xfId="0" applyFont="1" applyFill="1"/>
    <xf numFmtId="0" fontId="0" fillId="5" borderId="10" xfId="0" applyFill="1" applyBorder="1" applyAlignment="1">
      <alignment horizontal="center"/>
    </xf>
    <xf numFmtId="165" fontId="0" fillId="5" borderId="0" xfId="1" applyNumberFormat="1" applyFont="1" applyFill="1"/>
    <xf numFmtId="0" fontId="2" fillId="0" borderId="12" xfId="0" applyFont="1" applyBorder="1"/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8" borderId="14" xfId="0" applyFill="1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14" xfId="0" applyBorder="1"/>
    <xf numFmtId="0" fontId="0" fillId="0" borderId="10" xfId="0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2" fontId="0" fillId="0" borderId="8" xfId="0" applyNumberFormat="1" applyBorder="1"/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2" fillId="0" borderId="0" xfId="0" applyFont="1"/>
    <xf numFmtId="166" fontId="0" fillId="0" borderId="0" xfId="0" applyNumberFormat="1" applyAlignment="1">
      <alignment horizontal="center"/>
    </xf>
    <xf numFmtId="0" fontId="10" fillId="0" borderId="8" xfId="0" applyFont="1" applyBorder="1" applyAlignment="1">
      <alignment horizontal="center" vertical="center"/>
    </xf>
    <xf numFmtId="170" fontId="0" fillId="0" borderId="0" xfId="0" applyNumberFormat="1"/>
    <xf numFmtId="0" fontId="0" fillId="9" borderId="0" xfId="0" applyFill="1"/>
    <xf numFmtId="9" fontId="0" fillId="0" borderId="0" xfId="1" applyFont="1"/>
    <xf numFmtId="0" fontId="11" fillId="5" borderId="8" xfId="0" applyFont="1" applyFill="1" applyBorder="1" applyAlignment="1">
      <alignment vertical="center"/>
    </xf>
    <xf numFmtId="9" fontId="0" fillId="0" borderId="8" xfId="1" applyFont="1" applyBorder="1" applyAlignment="1">
      <alignment horizontal="center"/>
    </xf>
    <xf numFmtId="9" fontId="0" fillId="0" borderId="8" xfId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1" xfId="0" applyBorder="1"/>
    <xf numFmtId="0" fontId="0" fillId="0" borderId="33" xfId="0" applyBorder="1"/>
    <xf numFmtId="0" fontId="2" fillId="0" borderId="25" xfId="0" applyFont="1" applyBorder="1"/>
    <xf numFmtId="0" fontId="2" fillId="0" borderId="34" xfId="0" applyFont="1" applyBorder="1"/>
    <xf numFmtId="0" fontId="0" fillId="0" borderId="37" xfId="0" applyBorder="1"/>
    <xf numFmtId="0" fontId="0" fillId="0" borderId="38" xfId="0" applyBorder="1"/>
    <xf numFmtId="0" fontId="0" fillId="0" borderId="35" xfId="0" applyBorder="1"/>
    <xf numFmtId="0" fontId="2" fillId="0" borderId="27" xfId="0" applyFont="1" applyBorder="1"/>
    <xf numFmtId="0" fontId="0" fillId="0" borderId="3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20" xfId="0" applyBorder="1"/>
    <xf numFmtId="0" fontId="0" fillId="0" borderId="2" xfId="0" applyBorder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2" fillId="0" borderId="7" xfId="0" applyFont="1" applyBorder="1"/>
    <xf numFmtId="0" fontId="0" fillId="0" borderId="32" xfId="0" applyBorder="1"/>
    <xf numFmtId="9" fontId="2" fillId="0" borderId="1" xfId="1" applyFont="1" applyBorder="1"/>
    <xf numFmtId="9" fontId="1" fillId="0" borderId="27" xfId="1" applyFont="1" applyBorder="1"/>
    <xf numFmtId="0" fontId="0" fillId="0" borderId="19" xfId="0" applyBorder="1" applyAlignment="1">
      <alignment horizontal="right"/>
    </xf>
    <xf numFmtId="2" fontId="0" fillId="0" borderId="18" xfId="0" applyNumberFormat="1" applyBorder="1"/>
    <xf numFmtId="2" fontId="0" fillId="0" borderId="19" xfId="0" applyNumberFormat="1" applyBorder="1"/>
    <xf numFmtId="1" fontId="0" fillId="0" borderId="19" xfId="0" applyNumberFormat="1" applyBorder="1"/>
    <xf numFmtId="1" fontId="0" fillId="0" borderId="18" xfId="0" applyNumberFormat="1" applyBorder="1"/>
    <xf numFmtId="0" fontId="0" fillId="0" borderId="18" xfId="0" applyBorder="1" applyAlignment="1">
      <alignment horizontal="right"/>
    </xf>
    <xf numFmtId="3" fontId="0" fillId="0" borderId="18" xfId="0" applyNumberFormat="1" applyBorder="1"/>
    <xf numFmtId="3" fontId="0" fillId="0" borderId="19" xfId="0" applyNumberFormat="1" applyBorder="1"/>
    <xf numFmtId="10" fontId="0" fillId="0" borderId="2" xfId="0" applyNumberFormat="1" applyBorder="1"/>
    <xf numFmtId="10" fontId="0" fillId="0" borderId="2" xfId="1" applyNumberFormat="1" applyFont="1" applyBorder="1" applyAlignment="1"/>
    <xf numFmtId="9" fontId="0" fillId="0" borderId="2" xfId="1" applyFont="1" applyBorder="1" applyAlignment="1"/>
    <xf numFmtId="2" fontId="0" fillId="0" borderId="2" xfId="0" applyNumberFormat="1" applyBorder="1"/>
    <xf numFmtId="1" fontId="0" fillId="0" borderId="2" xfId="0" applyNumberFormat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2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10" fontId="0" fillId="0" borderId="32" xfId="0" applyNumberFormat="1" applyBorder="1"/>
    <xf numFmtId="0" fontId="14" fillId="2" borderId="42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165" fontId="0" fillId="0" borderId="2" xfId="0" applyNumberFormat="1" applyBorder="1"/>
    <xf numFmtId="166" fontId="0" fillId="0" borderId="2" xfId="0" applyNumberFormat="1" applyBorder="1"/>
    <xf numFmtId="10" fontId="0" fillId="0" borderId="2" xfId="0" applyNumberFormat="1" applyBorder="1" applyAlignment="1">
      <alignment horizontal="right"/>
    </xf>
    <xf numFmtId="165" fontId="0" fillId="0" borderId="8" xfId="0" applyNumberFormat="1" applyBorder="1" applyAlignment="1">
      <alignment wrapText="1"/>
    </xf>
    <xf numFmtId="0" fontId="16" fillId="11" borderId="44" xfId="0" applyFont="1" applyFill="1" applyBorder="1"/>
    <xf numFmtId="2" fontId="17" fillId="11" borderId="1" xfId="0" applyNumberFormat="1" applyFont="1" applyFill="1" applyBorder="1"/>
    <xf numFmtId="10" fontId="0" fillId="0" borderId="0" xfId="0" applyNumberFormat="1"/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0" fontId="0" fillId="0" borderId="8" xfId="0" applyNumberFormat="1" applyBorder="1"/>
    <xf numFmtId="10" fontId="0" fillId="0" borderId="14" xfId="0" applyNumberFormat="1" applyBorder="1"/>
    <xf numFmtId="2" fontId="0" fillId="0" borderId="0" xfId="0" applyNumberFormat="1"/>
    <xf numFmtId="2" fontId="15" fillId="0" borderId="2" xfId="0" applyNumberFormat="1" applyFont="1" applyBorder="1"/>
    <xf numFmtId="2" fontId="0" fillId="10" borderId="2" xfId="0" applyNumberFormat="1" applyFill="1" applyBorder="1"/>
    <xf numFmtId="164" fontId="0" fillId="0" borderId="2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/>
    </xf>
    <xf numFmtId="3" fontId="0" fillId="0" borderId="2" xfId="0" applyNumberFormat="1" applyBorder="1"/>
    <xf numFmtId="0" fontId="0" fillId="5" borderId="8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2" fontId="0" fillId="0" borderId="14" xfId="0" applyNumberFormat="1" applyBorder="1"/>
    <xf numFmtId="2" fontId="0" fillId="0" borderId="48" xfId="0" applyNumberFormat="1" applyBorder="1"/>
    <xf numFmtId="43" fontId="0" fillId="0" borderId="8" xfId="0" applyNumberFormat="1" applyBorder="1" applyAlignment="1">
      <alignment horizontal="right"/>
    </xf>
    <xf numFmtId="0" fontId="0" fillId="0" borderId="48" xfId="0" applyBorder="1"/>
    <xf numFmtId="0" fontId="0" fillId="0" borderId="14" xfId="0" applyBorder="1" applyAlignment="1">
      <alignment horizontal="right"/>
    </xf>
    <xf numFmtId="0" fontId="18" fillId="2" borderId="25" xfId="0" applyFont="1" applyFill="1" applyBorder="1" applyAlignment="1">
      <alignment horizontal="center" vertical="center"/>
    </xf>
    <xf numFmtId="10" fontId="0" fillId="0" borderId="3" xfId="0" applyNumberFormat="1" applyBorder="1"/>
    <xf numFmtId="0" fontId="0" fillId="0" borderId="0" xfId="1" applyNumberFormat="1" applyFont="1" applyAlignment="1">
      <alignment horizontal="center"/>
    </xf>
    <xf numFmtId="4" fontId="0" fillId="0" borderId="19" xfId="0" applyNumberFormat="1" applyBorder="1"/>
    <xf numFmtId="10" fontId="0" fillId="0" borderId="14" xfId="1" applyNumberFormat="1" applyFont="1" applyBorder="1"/>
    <xf numFmtId="10" fontId="0" fillId="0" borderId="8" xfId="1" applyNumberFormat="1" applyFont="1" applyBorder="1"/>
    <xf numFmtId="10" fontId="0" fillId="0" borderId="48" xfId="1" applyNumberFormat="1" applyFont="1" applyBorder="1"/>
    <xf numFmtId="164" fontId="0" fillId="0" borderId="14" xfId="2" applyFont="1" applyBorder="1"/>
    <xf numFmtId="164" fontId="0" fillId="0" borderId="8" xfId="2" applyFont="1" applyBorder="1"/>
    <xf numFmtId="10" fontId="15" fillId="0" borderId="14" xfId="1" applyNumberFormat="1" applyFont="1" applyBorder="1"/>
    <xf numFmtId="2" fontId="15" fillId="0" borderId="8" xfId="0" applyNumberFormat="1" applyFont="1" applyBorder="1"/>
    <xf numFmtId="2" fontId="2" fillId="2" borderId="1" xfId="0" applyNumberFormat="1" applyFont="1" applyFill="1" applyBorder="1"/>
    <xf numFmtId="0" fontId="3" fillId="0" borderId="8" xfId="0" applyFont="1" applyBorder="1"/>
    <xf numFmtId="10" fontId="15" fillId="0" borderId="8" xfId="1" applyNumberFormat="1" applyFont="1" applyBorder="1"/>
    <xf numFmtId="0" fontId="0" fillId="0" borderId="8" xfId="0" applyBorder="1" applyAlignment="1">
      <alignment wrapText="1"/>
    </xf>
    <xf numFmtId="10" fontId="0" fillId="0" borderId="48" xfId="0" applyNumberFormat="1" applyBorder="1"/>
    <xf numFmtId="2" fontId="2" fillId="0" borderId="23" xfId="0" applyNumberFormat="1" applyFont="1" applyBorder="1"/>
    <xf numFmtId="2" fontId="2" fillId="0" borderId="19" xfId="0" applyNumberFormat="1" applyFont="1" applyBorder="1"/>
    <xf numFmtId="0" fontId="0" fillId="0" borderId="11" xfId="0" applyBorder="1" applyAlignment="1">
      <alignment horizontal="right"/>
    </xf>
    <xf numFmtId="0" fontId="2" fillId="2" borderId="44" xfId="0" applyFont="1" applyFill="1" applyBorder="1"/>
    <xf numFmtId="2" fontId="2" fillId="2" borderId="38" xfId="0" applyNumberFormat="1" applyFont="1" applyFill="1" applyBorder="1"/>
    <xf numFmtId="10" fontId="15" fillId="0" borderId="50" xfId="1" applyNumberFormat="1" applyFont="1" applyBorder="1"/>
    <xf numFmtId="164" fontId="2" fillId="2" borderId="1" xfId="0" applyNumberFormat="1" applyFont="1" applyFill="1" applyBorder="1"/>
    <xf numFmtId="0" fontId="3" fillId="0" borderId="19" xfId="0" applyFont="1" applyBorder="1"/>
    <xf numFmtId="0" fontId="15" fillId="0" borderId="2" xfId="0" applyFont="1" applyBorder="1"/>
    <xf numFmtId="0" fontId="0" fillId="0" borderId="2" xfId="0" applyBorder="1" applyAlignment="1">
      <alignment horizontal="right"/>
    </xf>
    <xf numFmtId="10" fontId="0" fillId="0" borderId="2" xfId="1" applyNumberFormat="1" applyFont="1" applyFill="1" applyBorder="1"/>
    <xf numFmtId="0" fontId="15" fillId="0" borderId="3" xfId="0" applyFont="1" applyBorder="1"/>
    <xf numFmtId="164" fontId="15" fillId="0" borderId="8" xfId="1" applyNumberFormat="1" applyFont="1" applyFill="1" applyBorder="1"/>
    <xf numFmtId="10" fontId="15" fillId="0" borderId="8" xfId="1" applyNumberFormat="1" applyFont="1" applyFill="1" applyBorder="1"/>
    <xf numFmtId="10" fontId="15" fillId="0" borderId="48" xfId="1" applyNumberFormat="1" applyFont="1" applyBorder="1"/>
    <xf numFmtId="171" fontId="15" fillId="0" borderId="2" xfId="0" applyNumberFormat="1" applyFont="1" applyBorder="1"/>
    <xf numFmtId="0" fontId="2" fillId="12" borderId="1" xfId="0" applyFont="1" applyFill="1" applyBorder="1"/>
    <xf numFmtId="2" fontId="2" fillId="12" borderId="1" xfId="0" applyNumberFormat="1" applyFont="1" applyFill="1" applyBorder="1"/>
    <xf numFmtId="10" fontId="15" fillId="5" borderId="8" xfId="1" applyNumberFormat="1" applyFont="1" applyFill="1" applyBorder="1"/>
    <xf numFmtId="0" fontId="0" fillId="5" borderId="8" xfId="0" applyFill="1" applyBorder="1" applyAlignment="1">
      <alignment wrapText="1"/>
    </xf>
    <xf numFmtId="10" fontId="15" fillId="5" borderId="14" xfId="1" applyNumberFormat="1" applyFont="1" applyFill="1" applyBorder="1"/>
    <xf numFmtId="0" fontId="0" fillId="5" borderId="14" xfId="0" applyFill="1" applyBorder="1"/>
    <xf numFmtId="10" fontId="3" fillId="0" borderId="8" xfId="1" applyNumberFormat="1" applyFont="1" applyFill="1" applyBorder="1"/>
    <xf numFmtId="164" fontId="3" fillId="0" borderId="8" xfId="1" applyNumberFormat="1" applyFont="1" applyFill="1" applyBorder="1"/>
    <xf numFmtId="164" fontId="0" fillId="0" borderId="18" xfId="0" applyNumberFormat="1" applyBorder="1"/>
    <xf numFmtId="164" fontId="0" fillId="0" borderId="19" xfId="0" applyNumberFormat="1" applyBorder="1"/>
    <xf numFmtId="0" fontId="15" fillId="0" borderId="19" xfId="0" applyFont="1" applyBorder="1"/>
    <xf numFmtId="2" fontId="0" fillId="0" borderId="14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0" fontId="2" fillId="0" borderId="24" xfId="0" applyFont="1" applyBorder="1"/>
    <xf numFmtId="0" fontId="2" fillId="0" borderId="26" xfId="0" applyFont="1" applyBorder="1"/>
    <xf numFmtId="170" fontId="0" fillId="0" borderId="18" xfId="0" applyNumberFormat="1" applyBorder="1"/>
    <xf numFmtId="10" fontId="0" fillId="13" borderId="2" xfId="0" applyNumberFormat="1" applyFill="1" applyBorder="1"/>
    <xf numFmtId="2" fontId="15" fillId="13" borderId="2" xfId="0" applyNumberFormat="1" applyFont="1" applyFill="1" applyBorder="1"/>
    <xf numFmtId="2" fontId="0" fillId="13" borderId="2" xfId="0" applyNumberFormat="1" applyFill="1" applyBorder="1"/>
    <xf numFmtId="10" fontId="0" fillId="13" borderId="2" xfId="1" applyNumberFormat="1" applyFont="1" applyFill="1" applyBorder="1"/>
    <xf numFmtId="10" fontId="0" fillId="0" borderId="0" xfId="1" applyNumberFormat="1" applyFont="1" applyBorder="1"/>
    <xf numFmtId="164" fontId="0" fillId="0" borderId="0" xfId="2" applyFont="1"/>
    <xf numFmtId="0" fontId="6" fillId="5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7" xfId="0" applyNumberForma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0" fillId="0" borderId="49" xfId="0" applyNumberFormat="1" applyBorder="1" applyAlignment="1">
      <alignment horizontal="center"/>
    </xf>
    <xf numFmtId="10" fontId="0" fillId="5" borderId="0" xfId="1" applyNumberFormat="1" applyFont="1" applyFill="1"/>
    <xf numFmtId="10" fontId="15" fillId="0" borderId="7" xfId="1" applyNumberFormat="1" applyFont="1" applyBorder="1" applyAlignment="1"/>
    <xf numFmtId="10" fontId="15" fillId="0" borderId="2" xfId="1" applyNumberFormat="1" applyFont="1" applyBorder="1" applyAlignment="1"/>
    <xf numFmtId="10" fontId="3" fillId="0" borderId="2" xfId="0" applyNumberFormat="1" applyFont="1" applyBorder="1"/>
    <xf numFmtId="0" fontId="3" fillId="0" borderId="2" xfId="0" applyFont="1" applyBorder="1"/>
    <xf numFmtId="10" fontId="3" fillId="0" borderId="32" xfId="0" applyNumberFormat="1" applyFont="1" applyBorder="1" applyAlignment="1">
      <alignment vertical="center"/>
    </xf>
    <xf numFmtId="10" fontId="3" fillId="0" borderId="7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15" fillId="0" borderId="18" xfId="0" applyFont="1" applyBorder="1"/>
    <xf numFmtId="0" fontId="15" fillId="0" borderId="19" xfId="0" applyFont="1" applyBorder="1" applyAlignment="1">
      <alignment horizontal="right"/>
    </xf>
    <xf numFmtId="2" fontId="15" fillId="0" borderId="7" xfId="0" applyNumberFormat="1" applyFont="1" applyBorder="1"/>
    <xf numFmtId="0" fontId="15" fillId="0" borderId="7" xfId="0" applyFont="1" applyBorder="1"/>
    <xf numFmtId="164" fontId="15" fillId="0" borderId="2" xfId="0" applyNumberFormat="1" applyFont="1" applyBorder="1"/>
    <xf numFmtId="4" fontId="15" fillId="0" borderId="2" xfId="0" applyNumberFormat="1" applyFont="1" applyBorder="1"/>
    <xf numFmtId="164" fontId="15" fillId="0" borderId="3" xfId="0" applyNumberFormat="1" applyFont="1" applyBorder="1"/>
    <xf numFmtId="1" fontId="15" fillId="0" borderId="18" xfId="0" applyNumberFormat="1" applyFont="1" applyBorder="1"/>
    <xf numFmtId="1" fontId="15" fillId="0" borderId="19" xfId="0" applyNumberFormat="1" applyFont="1" applyBorder="1"/>
    <xf numFmtId="2" fontId="0" fillId="0" borderId="8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43" fontId="0" fillId="0" borderId="52" xfId="0" applyNumberFormat="1" applyBorder="1" applyAlignment="1">
      <alignment horizontal="center"/>
    </xf>
    <xf numFmtId="43" fontId="0" fillId="0" borderId="52" xfId="0" applyNumberFormat="1" applyBorder="1" applyAlignment="1">
      <alignment horizontal="center" vertical="center"/>
    </xf>
    <xf numFmtId="43" fontId="0" fillId="0" borderId="51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3" xfId="0" applyBorder="1" applyAlignment="1">
      <alignment horizontal="center" vertical="center"/>
    </xf>
    <xf numFmtId="2" fontId="2" fillId="0" borderId="48" xfId="0" applyNumberFormat="1" applyFont="1" applyBorder="1" applyAlignment="1">
      <alignment horizont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53" xfId="0" applyNumberFormat="1" applyFont="1" applyBorder="1" applyAlignment="1">
      <alignment horizont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0" borderId="52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/>
    </xf>
    <xf numFmtId="43" fontId="0" fillId="0" borderId="3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2" fontId="0" fillId="0" borderId="36" xfId="0" applyNumberFormat="1" applyBorder="1" applyAlignment="1">
      <alignment horizontal="right"/>
    </xf>
    <xf numFmtId="2" fontId="2" fillId="0" borderId="38" xfId="0" applyNumberFormat="1" applyFont="1" applyBorder="1" applyAlignment="1">
      <alignment horizontal="right"/>
    </xf>
    <xf numFmtId="165" fontId="15" fillId="0" borderId="2" xfId="0" applyNumberFormat="1" applyFont="1" applyBorder="1" applyAlignment="1">
      <alignment horizontal="right"/>
    </xf>
    <xf numFmtId="10" fontId="15" fillId="0" borderId="2" xfId="0" applyNumberFormat="1" applyFont="1" applyBorder="1"/>
    <xf numFmtId="1" fontId="15" fillId="0" borderId="2" xfId="0" applyNumberFormat="1" applyFont="1" applyBorder="1"/>
    <xf numFmtId="166" fontId="15" fillId="0" borderId="2" xfId="0" applyNumberFormat="1" applyFont="1" applyBorder="1"/>
    <xf numFmtId="165" fontId="15" fillId="0" borderId="2" xfId="0" applyNumberFormat="1" applyFont="1" applyBorder="1"/>
    <xf numFmtId="9" fontId="15" fillId="0" borderId="8" xfId="0" applyNumberFormat="1" applyFont="1" applyBorder="1" applyAlignment="1">
      <alignment wrapText="1"/>
    </xf>
    <xf numFmtId="0" fontId="0" fillId="0" borderId="55" xfId="0" applyBorder="1"/>
    <xf numFmtId="2" fontId="0" fillId="0" borderId="9" xfId="0" applyNumberFormat="1" applyBorder="1"/>
    <xf numFmtId="2" fontId="15" fillId="0" borderId="19" xfId="0" applyNumberFormat="1" applyFont="1" applyBorder="1"/>
    <xf numFmtId="2" fontId="15" fillId="0" borderId="21" xfId="0" applyNumberFormat="1" applyFont="1" applyBorder="1"/>
    <xf numFmtId="0" fontId="15" fillId="0" borderId="7" xfId="0" applyFont="1" applyBorder="1" applyAlignment="1">
      <alignment horizontal="center"/>
    </xf>
    <xf numFmtId="0" fontId="15" fillId="0" borderId="28" xfId="0" applyFont="1" applyBorder="1"/>
    <xf numFmtId="0" fontId="15" fillId="0" borderId="14" xfId="0" applyFont="1" applyBorder="1"/>
    <xf numFmtId="0" fontId="15" fillId="0" borderId="12" xfId="0" applyFont="1" applyBorder="1"/>
    <xf numFmtId="0" fontId="18" fillId="0" borderId="7" xfId="0" applyFont="1" applyBorder="1"/>
    <xf numFmtId="0" fontId="15" fillId="0" borderId="32" xfId="0" applyFont="1" applyBorder="1" applyAlignment="1">
      <alignment horizontal="center"/>
    </xf>
    <xf numFmtId="0" fontId="15" fillId="0" borderId="35" xfId="0" applyFont="1" applyBorder="1"/>
    <xf numFmtId="0" fontId="15" fillId="0" borderId="11" xfId="0" applyFont="1" applyBorder="1"/>
    <xf numFmtId="0" fontId="15" fillId="0" borderId="33" xfId="0" applyFont="1" applyBorder="1"/>
    <xf numFmtId="0" fontId="18" fillId="0" borderId="1" xfId="0" applyFont="1" applyBorder="1" applyAlignment="1">
      <alignment horizontal="center"/>
    </xf>
    <xf numFmtId="0" fontId="18" fillId="0" borderId="27" xfId="0" applyFont="1" applyBorder="1"/>
    <xf numFmtId="0" fontId="18" fillId="0" borderId="25" xfId="0" applyFont="1" applyBorder="1"/>
    <xf numFmtId="0" fontId="18" fillId="0" borderId="34" xfId="0" applyFont="1" applyBorder="1"/>
    <xf numFmtId="0" fontId="18" fillId="0" borderId="1" xfId="0" applyFont="1" applyBorder="1"/>
    <xf numFmtId="0" fontId="15" fillId="0" borderId="1" xfId="0" applyFont="1" applyBorder="1" applyAlignment="1">
      <alignment horizontal="center"/>
    </xf>
    <xf numFmtId="9" fontId="15" fillId="0" borderId="27" xfId="1" applyFont="1" applyBorder="1"/>
    <xf numFmtId="9" fontId="18" fillId="0" borderId="1" xfId="1" applyFont="1" applyBorder="1"/>
    <xf numFmtId="3" fontId="15" fillId="0" borderId="7" xfId="0" applyNumberFormat="1" applyFont="1" applyBorder="1"/>
    <xf numFmtId="3" fontId="15" fillId="0" borderId="32" xfId="0" applyNumberFormat="1" applyFont="1" applyBorder="1"/>
    <xf numFmtId="2" fontId="15" fillId="0" borderId="48" xfId="0" applyNumberFormat="1" applyFont="1" applyBorder="1"/>
    <xf numFmtId="172" fontId="0" fillId="0" borderId="0" xfId="1" applyNumberFormat="1" applyFont="1"/>
    <xf numFmtId="1" fontId="3" fillId="0" borderId="2" xfId="0" applyNumberFormat="1" applyFont="1" applyBorder="1"/>
    <xf numFmtId="43" fontId="0" fillId="0" borderId="0" xfId="0" applyNumberFormat="1"/>
    <xf numFmtId="43" fontId="0" fillId="0" borderId="8" xfId="0" applyNumberFormat="1" applyBorder="1"/>
    <xf numFmtId="43" fontId="0" fillId="0" borderId="16" xfId="0" applyNumberFormat="1" applyBorder="1"/>
    <xf numFmtId="43" fontId="0" fillId="0" borderId="28" xfId="0" applyNumberFormat="1" applyBorder="1"/>
    <xf numFmtId="43" fontId="0" fillId="0" borderId="14" xfId="0" applyNumberFormat="1" applyBorder="1"/>
    <xf numFmtId="0" fontId="2" fillId="0" borderId="24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170" fontId="2" fillId="0" borderId="18" xfId="0" applyNumberFormat="1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5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56" xfId="0" applyFont="1" applyFill="1" applyBorder="1" applyAlignment="1">
      <alignment horizontal="center" vertical="center"/>
    </xf>
    <xf numFmtId="170" fontId="0" fillId="0" borderId="5" xfId="0" applyNumberFormat="1" applyBorder="1"/>
    <xf numFmtId="0" fontId="0" fillId="0" borderId="6" xfId="0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2" fillId="2" borderId="24" xfId="0" applyFont="1" applyFill="1" applyBorder="1"/>
    <xf numFmtId="0" fontId="2" fillId="2" borderId="26" xfId="0" applyFont="1" applyFill="1" applyBorder="1"/>
    <xf numFmtId="164" fontId="2" fillId="0" borderId="44" xfId="0" applyNumberFormat="1" applyFont="1" applyBorder="1"/>
    <xf numFmtId="164" fontId="2" fillId="0" borderId="1" xfId="0" applyNumberFormat="1" applyFont="1" applyBorder="1"/>
    <xf numFmtId="170" fontId="0" fillId="0" borderId="22" xfId="0" applyNumberFormat="1" applyBorder="1"/>
    <xf numFmtId="2" fontId="15" fillId="0" borderId="14" xfId="0" applyNumberFormat="1" applyFont="1" applyBorder="1"/>
    <xf numFmtId="2" fontId="0" fillId="0" borderId="23" xfId="0" applyNumberFormat="1" applyBorder="1"/>
    <xf numFmtId="2" fontId="0" fillId="0" borderId="7" xfId="0" applyNumberFormat="1" applyBorder="1"/>
    <xf numFmtId="2" fontId="0" fillId="0" borderId="3" xfId="0" applyNumberFormat="1" applyBorder="1"/>
    <xf numFmtId="10" fontId="2" fillId="14" borderId="1" xfId="0" applyNumberFormat="1" applyFont="1" applyFill="1" applyBorder="1"/>
    <xf numFmtId="10" fontId="0" fillId="15" borderId="8" xfId="1" applyNumberFormat="1" applyFont="1" applyFill="1" applyBorder="1" applyAlignment="1">
      <alignment horizontal="center"/>
    </xf>
    <xf numFmtId="165" fontId="0" fillId="15" borderId="8" xfId="1" applyNumberFormat="1" applyFont="1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5" borderId="2" xfId="0" applyFill="1" applyBorder="1"/>
    <xf numFmtId="1" fontId="0" fillId="5" borderId="18" xfId="0" applyNumberFormat="1" applyFill="1" applyBorder="1"/>
    <xf numFmtId="1" fontId="0" fillId="5" borderId="19" xfId="0" applyNumberFormat="1" applyFill="1" applyBorder="1" applyAlignment="1">
      <alignment horizontal="right"/>
    </xf>
    <xf numFmtId="1" fontId="0" fillId="5" borderId="2" xfId="0" applyNumberFormat="1" applyFill="1" applyBorder="1"/>
    <xf numFmtId="10" fontId="0" fillId="5" borderId="2" xfId="1" applyNumberFormat="1" applyFont="1" applyFill="1" applyBorder="1"/>
    <xf numFmtId="164" fontId="15" fillId="5" borderId="2" xfId="0" applyNumberFormat="1" applyFont="1" applyFill="1" applyBorder="1"/>
    <xf numFmtId="1" fontId="0" fillId="5" borderId="19" xfId="0" applyNumberFormat="1" applyFill="1" applyBorder="1"/>
    <xf numFmtId="164" fontId="15" fillId="5" borderId="7" xfId="0" applyNumberFormat="1" applyFont="1" applyFill="1" applyBorder="1"/>
    <xf numFmtId="0" fontId="0" fillId="5" borderId="18" xfId="0" applyFill="1" applyBorder="1" applyAlignment="1">
      <alignment horizontal="right"/>
    </xf>
    <xf numFmtId="0" fontId="15" fillId="5" borderId="7" xfId="0" applyFon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5" fillId="0" borderId="36" xfId="0" applyFont="1" applyBorder="1"/>
    <xf numFmtId="0" fontId="15" fillId="0" borderId="37" xfId="0" applyFont="1" applyBorder="1"/>
    <xf numFmtId="0" fontId="15" fillId="0" borderId="7" xfId="0" applyFont="1" applyBorder="1"/>
    <xf numFmtId="0" fontId="2" fillId="12" borderId="24" xfId="0" applyFon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26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9" fontId="2" fillId="2" borderId="36" xfId="1" applyFont="1" applyFill="1" applyBorder="1" applyAlignment="1">
      <alignment horizontal="center" vertical="center" wrapText="1"/>
    </xf>
    <xf numFmtId="9" fontId="2" fillId="2" borderId="37" xfId="1" applyFont="1" applyFill="1" applyBorder="1" applyAlignment="1">
      <alignment horizontal="center" vertical="center" wrapText="1"/>
    </xf>
    <xf numFmtId="9" fontId="2" fillId="2" borderId="38" xfId="1" applyFont="1" applyFill="1" applyBorder="1" applyAlignment="1">
      <alignment horizontal="center" vertical="center" wrapText="1"/>
    </xf>
    <xf numFmtId="10" fontId="0" fillId="0" borderId="32" xfId="0" applyNumberFormat="1" applyBorder="1" applyAlignment="1">
      <alignment horizontal="right" vertical="center"/>
    </xf>
    <xf numFmtId="10" fontId="0" fillId="0" borderId="7" xfId="0" applyNumberFormat="1" applyBorder="1" applyAlignment="1">
      <alignment horizontal="right" vertical="center"/>
    </xf>
    <xf numFmtId="0" fontId="15" fillId="0" borderId="4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29" xfId="0" applyFont="1" applyBorder="1" applyAlignment="1">
      <alignment horizontal="center"/>
    </xf>
  </cellXfs>
  <cellStyles count="4">
    <cellStyle name="Comma" xfId="2" builtinId="3"/>
    <cellStyle name="Comma 10" xfId="3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pagrawal\Downloads\UDAAN%20Initiatives%20Dashboard%20(1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il-24"/>
      <sheetName val="May-24"/>
      <sheetName val="June-24"/>
      <sheetName val="Daily inc Mines"/>
      <sheetName val="Day Wise 24-25"/>
      <sheetName val="AFR"/>
    </sheetNames>
    <sheetDataSet>
      <sheetData sheetId="0">
        <row r="3">
          <cell r="AI3">
            <v>328621</v>
          </cell>
        </row>
        <row r="4">
          <cell r="AI4">
            <v>105996</v>
          </cell>
        </row>
        <row r="6">
          <cell r="AI6">
            <v>5297</v>
          </cell>
        </row>
        <row r="7">
          <cell r="AI7">
            <v>19230</v>
          </cell>
        </row>
        <row r="9">
          <cell r="AI9">
            <v>7798</v>
          </cell>
        </row>
        <row r="10">
          <cell r="AI10">
            <v>25852</v>
          </cell>
        </row>
        <row r="15">
          <cell r="AI15">
            <v>214315</v>
          </cell>
        </row>
        <row r="21">
          <cell r="AI21">
            <v>254667</v>
          </cell>
        </row>
        <row r="23">
          <cell r="AI23">
            <v>12694080</v>
          </cell>
        </row>
        <row r="28">
          <cell r="AI28">
            <v>880</v>
          </cell>
        </row>
        <row r="29">
          <cell r="AI29">
            <v>1323</v>
          </cell>
        </row>
        <row r="30">
          <cell r="AI30">
            <v>1453</v>
          </cell>
        </row>
        <row r="31">
          <cell r="AI31">
            <v>11500</v>
          </cell>
        </row>
        <row r="32">
          <cell r="AI32">
            <v>7027</v>
          </cell>
        </row>
        <row r="33">
          <cell r="AI33">
            <v>22183</v>
          </cell>
        </row>
        <row r="35">
          <cell r="AI35">
            <v>28058</v>
          </cell>
        </row>
        <row r="36">
          <cell r="AI36">
            <v>119091</v>
          </cell>
        </row>
        <row r="38">
          <cell r="AI38">
            <v>97665</v>
          </cell>
        </row>
        <row r="39">
          <cell r="AI39">
            <v>4788</v>
          </cell>
        </row>
        <row r="41">
          <cell r="AI41">
            <v>9771</v>
          </cell>
        </row>
        <row r="42">
          <cell r="AI42">
            <v>233415.53079999998</v>
          </cell>
        </row>
        <row r="43">
          <cell r="AI43">
            <v>187930122.30000001</v>
          </cell>
        </row>
        <row r="44">
          <cell r="AI44">
            <v>78711144.489999995</v>
          </cell>
        </row>
        <row r="46">
          <cell r="AI46">
            <v>9276</v>
          </cell>
        </row>
        <row r="47">
          <cell r="AI47">
            <v>146436.52800000005</v>
          </cell>
        </row>
        <row r="48">
          <cell r="AI48">
            <v>46844474.684</v>
          </cell>
        </row>
        <row r="50">
          <cell r="AI50">
            <v>6591</v>
          </cell>
        </row>
        <row r="51">
          <cell r="AI51">
            <v>150059.52800000005</v>
          </cell>
        </row>
        <row r="52">
          <cell r="AI52">
            <v>33377575.720000006</v>
          </cell>
        </row>
        <row r="54">
          <cell r="AI54">
            <v>3243</v>
          </cell>
        </row>
        <row r="55">
          <cell r="AI55">
            <v>240083.83999999994</v>
          </cell>
        </row>
        <row r="56">
          <cell r="AI56">
            <v>154866084.89999998</v>
          </cell>
        </row>
        <row r="57">
          <cell r="AI57">
            <v>25953026.999999996</v>
          </cell>
        </row>
        <row r="59">
          <cell r="AI59">
            <v>11646</v>
          </cell>
        </row>
        <row r="60">
          <cell r="AI60">
            <v>145445.05200000003</v>
          </cell>
        </row>
        <row r="61">
          <cell r="AI61">
            <v>56459510.548</v>
          </cell>
        </row>
        <row r="63">
          <cell r="AI63">
            <v>14324</v>
          </cell>
        </row>
        <row r="64">
          <cell r="AI64">
            <v>150795.05200000003</v>
          </cell>
        </row>
        <row r="65">
          <cell r="AI65">
            <v>71634704.164000005</v>
          </cell>
        </row>
      </sheetData>
      <sheetData sheetId="1">
        <row r="3">
          <cell r="AJ3">
            <v>356073</v>
          </cell>
        </row>
        <row r="4">
          <cell r="AJ4">
            <v>113186</v>
          </cell>
        </row>
        <row r="6">
          <cell r="AJ6">
            <v>4662</v>
          </cell>
        </row>
        <row r="7">
          <cell r="AJ7">
            <v>17110</v>
          </cell>
        </row>
        <row r="15">
          <cell r="AJ15">
            <v>215141</v>
          </cell>
        </row>
        <row r="21">
          <cell r="AJ21">
            <v>259384</v>
          </cell>
        </row>
        <row r="23">
          <cell r="AJ23">
            <v>12591390</v>
          </cell>
        </row>
        <row r="28">
          <cell r="AJ28">
            <v>1699</v>
          </cell>
        </row>
        <row r="29">
          <cell r="AJ29">
            <v>1089</v>
          </cell>
        </row>
        <row r="30">
          <cell r="AJ30">
            <v>1403</v>
          </cell>
        </row>
        <row r="31">
          <cell r="AJ31">
            <v>9690</v>
          </cell>
        </row>
        <row r="32">
          <cell r="AJ32">
            <v>6188</v>
          </cell>
        </row>
        <row r="33">
          <cell r="AJ33">
            <v>20069</v>
          </cell>
        </row>
        <row r="35">
          <cell r="AJ35">
            <v>28604</v>
          </cell>
        </row>
        <row r="36">
          <cell r="AJ36">
            <v>125219</v>
          </cell>
        </row>
        <row r="38">
          <cell r="AJ38">
            <v>88966</v>
          </cell>
        </row>
        <row r="39">
          <cell r="AJ39">
            <v>3780.91</v>
          </cell>
        </row>
        <row r="41">
          <cell r="AJ41">
            <v>2187</v>
          </cell>
        </row>
        <row r="42">
          <cell r="AJ42">
            <v>64382</v>
          </cell>
        </row>
        <row r="43">
          <cell r="AJ43">
            <v>192140381</v>
          </cell>
        </row>
        <row r="44">
          <cell r="AJ44">
            <v>17600438</v>
          </cell>
        </row>
        <row r="46">
          <cell r="AJ46">
            <v>19482</v>
          </cell>
        </row>
        <row r="47">
          <cell r="AJ47">
            <v>149883</v>
          </cell>
        </row>
        <row r="48">
          <cell r="AJ48">
            <v>97451371</v>
          </cell>
        </row>
        <row r="50">
          <cell r="AJ50">
            <v>9480</v>
          </cell>
        </row>
        <row r="51">
          <cell r="AJ51">
            <v>131211</v>
          </cell>
        </row>
        <row r="52">
          <cell r="AJ52">
            <v>47672950</v>
          </cell>
        </row>
        <row r="54">
          <cell r="AJ54">
            <v>316.20100000000002</v>
          </cell>
        </row>
        <row r="55">
          <cell r="AJ55">
            <v>24016</v>
          </cell>
        </row>
        <row r="56">
          <cell r="AJ56">
            <v>155887318</v>
          </cell>
        </row>
        <row r="57">
          <cell r="AJ57">
            <v>2531421.8089999999</v>
          </cell>
        </row>
        <row r="59">
          <cell r="AJ59">
            <v>9457</v>
          </cell>
        </row>
        <row r="60">
          <cell r="AJ60">
            <v>144918</v>
          </cell>
        </row>
        <row r="61">
          <cell r="AJ61">
            <v>44028533</v>
          </cell>
        </row>
        <row r="63">
          <cell r="AJ63">
            <v>21718.798999999999</v>
          </cell>
        </row>
        <row r="64">
          <cell r="AJ64">
            <v>155815</v>
          </cell>
        </row>
        <row r="65">
          <cell r="AJ65">
            <v>108531261.735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C146"/>
  <sheetViews>
    <sheetView zoomScale="78" workbookViewId="0">
      <pane xSplit="2" ySplit="2" topLeftCell="U97" activePane="bottomRight" state="frozen"/>
      <selection pane="topRight" activeCell="C1" sqref="C1"/>
      <selection pane="bottomLeft" activeCell="A3" sqref="A3"/>
      <selection pane="bottomRight" activeCell="R101" sqref="R101"/>
    </sheetView>
  </sheetViews>
  <sheetFormatPr defaultColWidth="8.6640625" defaultRowHeight="14.4" x14ac:dyDescent="0.3"/>
  <cols>
    <col min="1" max="1" width="4" customWidth="1"/>
    <col min="2" max="2" width="35.6640625" customWidth="1"/>
    <col min="3" max="3" width="20" style="5" bestFit="1" customWidth="1"/>
    <col min="4" max="4" width="14.33203125" style="5" bestFit="1" customWidth="1"/>
    <col min="5" max="5" width="13.21875" style="6" bestFit="1" customWidth="1"/>
    <col min="6" max="12" width="11" style="6" bestFit="1" customWidth="1"/>
    <col min="13" max="13" width="11" style="5" bestFit="1" customWidth="1"/>
    <col min="14" max="26" width="11" style="6" bestFit="1" customWidth="1"/>
    <col min="27" max="29" width="10.6640625" style="6" customWidth="1"/>
    <col min="30" max="33" width="12.44140625" style="6" customWidth="1"/>
    <col min="34" max="34" width="13" style="6" customWidth="1"/>
    <col min="35" max="35" width="11.109375" style="6" hidden="1" customWidth="1"/>
    <col min="36" max="36" width="15" style="6" bestFit="1" customWidth="1"/>
    <col min="37" max="37" width="14.109375" bestFit="1" customWidth="1"/>
    <col min="38" max="38" width="16" customWidth="1"/>
  </cols>
  <sheetData>
    <row r="1" spans="1:253" ht="28.8" x14ac:dyDescent="0.55000000000000004">
      <c r="A1" s="7" t="s">
        <v>67</v>
      </c>
      <c r="N1"/>
      <c r="O1"/>
      <c r="P1"/>
      <c r="R1"/>
      <c r="S1"/>
      <c r="T1"/>
      <c r="U1"/>
    </row>
    <row r="2" spans="1:253" x14ac:dyDescent="0.3">
      <c r="A2" s="8" t="s">
        <v>68</v>
      </c>
      <c r="B2" s="9" t="s">
        <v>69</v>
      </c>
      <c r="C2" s="8" t="s">
        <v>70</v>
      </c>
      <c r="D2" s="8" t="s">
        <v>71</v>
      </c>
      <c r="E2" s="10">
        <v>45444</v>
      </c>
      <c r="F2" s="10">
        <v>45445</v>
      </c>
      <c r="G2" s="10">
        <v>45446</v>
      </c>
      <c r="H2" s="10">
        <v>45447</v>
      </c>
      <c r="I2" s="10">
        <v>45448</v>
      </c>
      <c r="J2" s="10">
        <v>45449</v>
      </c>
      <c r="K2" s="10">
        <v>45450</v>
      </c>
      <c r="L2" s="10">
        <v>45451</v>
      </c>
      <c r="M2" s="10">
        <v>45452</v>
      </c>
      <c r="N2" s="10">
        <v>45453</v>
      </c>
      <c r="O2" s="10">
        <v>45454</v>
      </c>
      <c r="P2" s="10">
        <v>45455</v>
      </c>
      <c r="Q2" s="10">
        <v>45456</v>
      </c>
      <c r="R2" s="10">
        <v>45457</v>
      </c>
      <c r="S2" s="10">
        <v>45458</v>
      </c>
      <c r="T2" s="10">
        <v>45459</v>
      </c>
      <c r="U2" s="10">
        <v>45460</v>
      </c>
      <c r="V2" s="10">
        <v>45461</v>
      </c>
      <c r="W2" s="10">
        <v>45462</v>
      </c>
      <c r="X2" s="10">
        <v>45463</v>
      </c>
      <c r="Y2" s="10">
        <v>45464</v>
      </c>
      <c r="Z2" s="10">
        <v>45465</v>
      </c>
      <c r="AA2" s="10">
        <v>45466</v>
      </c>
      <c r="AB2" s="10">
        <v>45467</v>
      </c>
      <c r="AC2" s="10">
        <v>45468</v>
      </c>
      <c r="AD2" s="10">
        <v>45469</v>
      </c>
      <c r="AE2" s="10">
        <v>45470</v>
      </c>
      <c r="AF2" s="10">
        <v>45471</v>
      </c>
      <c r="AG2" s="10">
        <v>45472</v>
      </c>
      <c r="AH2" s="10">
        <v>45473</v>
      </c>
      <c r="AI2" s="10"/>
      <c r="AJ2" s="11">
        <v>45444</v>
      </c>
    </row>
    <row r="3" spans="1:253" x14ac:dyDescent="0.3">
      <c r="A3" s="12"/>
      <c r="B3" s="13" t="s">
        <v>72</v>
      </c>
      <c r="C3" s="257" t="s">
        <v>73</v>
      </c>
      <c r="D3" s="257" t="s">
        <v>74</v>
      </c>
      <c r="E3" s="257">
        <f>E79+E80+E84+E85</f>
        <v>13607</v>
      </c>
      <c r="F3" s="257">
        <f t="shared" ref="F3:AH3" si="0">F79+F80+F84+F85</f>
        <v>10956</v>
      </c>
      <c r="G3" s="257">
        <f t="shared" si="0"/>
        <v>13573</v>
      </c>
      <c r="H3" s="257">
        <f t="shared" si="0"/>
        <v>12661</v>
      </c>
      <c r="I3" s="257">
        <f t="shared" si="0"/>
        <v>9337</v>
      </c>
      <c r="J3" s="257">
        <f t="shared" si="0"/>
        <v>15321</v>
      </c>
      <c r="K3" s="257">
        <f t="shared" si="0"/>
        <v>16963</v>
      </c>
      <c r="L3" s="257">
        <f t="shared" si="0"/>
        <v>17512</v>
      </c>
      <c r="M3" s="257">
        <f t="shared" si="0"/>
        <v>14922</v>
      </c>
      <c r="N3" s="257">
        <f t="shared" si="0"/>
        <v>13811</v>
      </c>
      <c r="O3" s="257">
        <f t="shared" si="0"/>
        <v>15398</v>
      </c>
      <c r="P3" s="257">
        <f t="shared" si="0"/>
        <v>15688</v>
      </c>
      <c r="Q3" s="257">
        <f t="shared" si="0"/>
        <v>14115</v>
      </c>
      <c r="R3" s="257">
        <f t="shared" si="0"/>
        <v>17914</v>
      </c>
      <c r="S3" s="257">
        <f t="shared" si="0"/>
        <v>10340</v>
      </c>
      <c r="T3" s="257">
        <f t="shared" si="0"/>
        <v>14712</v>
      </c>
      <c r="U3" s="257">
        <f t="shared" si="0"/>
        <v>16423</v>
      </c>
      <c r="V3" s="257">
        <f t="shared" si="0"/>
        <v>11530</v>
      </c>
      <c r="W3" s="257">
        <f t="shared" si="0"/>
        <v>16285</v>
      </c>
      <c r="X3" s="257">
        <f t="shared" si="0"/>
        <v>14166</v>
      </c>
      <c r="Y3" s="257">
        <f t="shared" si="0"/>
        <v>15700</v>
      </c>
      <c r="Z3" s="257">
        <f t="shared" si="0"/>
        <v>15459</v>
      </c>
      <c r="AA3" s="257">
        <f t="shared" si="0"/>
        <v>10811</v>
      </c>
      <c r="AB3" s="257">
        <f t="shared" si="0"/>
        <v>20227</v>
      </c>
      <c r="AC3" s="257">
        <f t="shared" si="0"/>
        <v>14755</v>
      </c>
      <c r="AD3" s="257">
        <f t="shared" si="0"/>
        <v>7105</v>
      </c>
      <c r="AE3" s="257">
        <f t="shared" si="0"/>
        <v>13741</v>
      </c>
      <c r="AF3" s="257">
        <f t="shared" si="0"/>
        <v>11742</v>
      </c>
      <c r="AG3" s="257">
        <f t="shared" si="0"/>
        <v>0</v>
      </c>
      <c r="AH3" s="257">
        <f t="shared" si="0"/>
        <v>0</v>
      </c>
      <c r="AI3" s="257"/>
      <c r="AJ3" s="14">
        <f>SUM(E3:AI3)</f>
        <v>394774</v>
      </c>
      <c r="AK3" s="15">
        <f>AJ3+'[1]April-24'!AI3+'[1]May-24'!AJ3</f>
        <v>1079468</v>
      </c>
    </row>
    <row r="4" spans="1:253" x14ac:dyDescent="0.3">
      <c r="A4" s="12"/>
      <c r="B4" s="13" t="s">
        <v>75</v>
      </c>
      <c r="C4" s="257" t="s">
        <v>73</v>
      </c>
      <c r="D4" s="257" t="s">
        <v>74</v>
      </c>
      <c r="E4" s="257">
        <f>E90+E91+E94+E95</f>
        <v>4632</v>
      </c>
      <c r="F4" s="257">
        <f t="shared" ref="F4:AH4" si="1">F90+F91+F94+F95</f>
        <v>3692</v>
      </c>
      <c r="G4" s="257">
        <f t="shared" si="1"/>
        <v>4335</v>
      </c>
      <c r="H4" s="257">
        <f t="shared" si="1"/>
        <v>4279</v>
      </c>
      <c r="I4" s="257">
        <f t="shared" si="1"/>
        <v>2957</v>
      </c>
      <c r="J4" s="257">
        <f t="shared" si="1"/>
        <v>4951</v>
      </c>
      <c r="K4" s="257">
        <f t="shared" si="1"/>
        <v>5751</v>
      </c>
      <c r="L4" s="257">
        <f t="shared" si="1"/>
        <v>5640</v>
      </c>
      <c r="M4" s="257">
        <f t="shared" si="1"/>
        <v>4932</v>
      </c>
      <c r="N4" s="257">
        <f t="shared" si="1"/>
        <v>4601</v>
      </c>
      <c r="O4" s="257">
        <f>O90+O91+O94+O95</f>
        <v>5127</v>
      </c>
      <c r="P4" s="257">
        <f>P90+P91+P94+P95</f>
        <v>5358</v>
      </c>
      <c r="Q4" s="257">
        <f>Q90+Q91+Q94+Q95</f>
        <v>4691</v>
      </c>
      <c r="R4" s="257">
        <f>R90+R91+R94+R95</f>
        <v>6068</v>
      </c>
      <c r="S4" s="257">
        <f t="shared" si="1"/>
        <v>3433</v>
      </c>
      <c r="T4" s="257">
        <f t="shared" si="1"/>
        <v>4884</v>
      </c>
      <c r="U4" s="257">
        <f t="shared" si="1"/>
        <v>5281</v>
      </c>
      <c r="V4" s="257">
        <f t="shared" si="1"/>
        <v>3930</v>
      </c>
      <c r="W4" s="257">
        <f t="shared" si="1"/>
        <v>5345</v>
      </c>
      <c r="X4" s="257">
        <f t="shared" si="1"/>
        <v>4799</v>
      </c>
      <c r="Y4" s="257">
        <f t="shared" si="1"/>
        <v>5183</v>
      </c>
      <c r="Z4" s="257">
        <f t="shared" si="1"/>
        <v>5302</v>
      </c>
      <c r="AA4" s="257">
        <f t="shared" si="1"/>
        <v>3415</v>
      </c>
      <c r="AB4" s="257">
        <f t="shared" si="1"/>
        <v>6427</v>
      </c>
      <c r="AC4" s="257">
        <f t="shared" si="1"/>
        <v>4827</v>
      </c>
      <c r="AD4" s="257">
        <f t="shared" si="1"/>
        <v>2385</v>
      </c>
      <c r="AE4" s="257">
        <f t="shared" si="1"/>
        <v>4749</v>
      </c>
      <c r="AF4" s="257">
        <f t="shared" si="1"/>
        <v>3997</v>
      </c>
      <c r="AG4" s="257">
        <f t="shared" si="1"/>
        <v>0</v>
      </c>
      <c r="AH4" s="257">
        <f t="shared" si="1"/>
        <v>0</v>
      </c>
      <c r="AI4" s="257"/>
      <c r="AJ4" s="14">
        <f>SUM(E4:AI4)</f>
        <v>130971</v>
      </c>
      <c r="AK4" s="15">
        <f>AJ4+'[1]April-24'!AI4+'[1]May-24'!AJ4</f>
        <v>350153</v>
      </c>
    </row>
    <row r="5" spans="1:253" s="20" customFormat="1" x14ac:dyDescent="0.3">
      <c r="A5" s="256">
        <v>1</v>
      </c>
      <c r="B5" s="16" t="s">
        <v>76</v>
      </c>
      <c r="C5" s="191" t="s">
        <v>73</v>
      </c>
      <c r="D5" s="191" t="s">
        <v>77</v>
      </c>
      <c r="E5" s="17">
        <f t="shared" ref="E5:AH5" si="2">E4/E3</f>
        <v>0.34041302270889984</v>
      </c>
      <c r="F5" s="17">
        <f t="shared" si="2"/>
        <v>0.33698430083972253</v>
      </c>
      <c r="G5" s="17">
        <f t="shared" si="2"/>
        <v>0.3193840713180579</v>
      </c>
      <c r="H5" s="17">
        <f t="shared" si="2"/>
        <v>0.33796698523023455</v>
      </c>
      <c r="I5" s="17">
        <f t="shared" si="2"/>
        <v>0.31669701188818677</v>
      </c>
      <c r="J5" s="17">
        <f t="shared" si="2"/>
        <v>0.32315123033744536</v>
      </c>
      <c r="K5" s="17">
        <f t="shared" si="2"/>
        <v>0.33903201084713791</v>
      </c>
      <c r="L5" s="17">
        <f t="shared" si="2"/>
        <v>0.32206486980356325</v>
      </c>
      <c r="M5" s="18">
        <f t="shared" si="2"/>
        <v>0.33051869722557298</v>
      </c>
      <c r="N5" s="17">
        <f t="shared" si="2"/>
        <v>0.33314025052494389</v>
      </c>
      <c r="O5" s="17">
        <f t="shared" si="2"/>
        <v>0.33296532017145086</v>
      </c>
      <c r="P5" s="17">
        <f t="shared" si="2"/>
        <v>0.34153493115757266</v>
      </c>
      <c r="Q5" s="17">
        <f t="shared" si="2"/>
        <v>0.33234148069429686</v>
      </c>
      <c r="R5" s="17">
        <f t="shared" si="2"/>
        <v>0.33872948531874514</v>
      </c>
      <c r="S5" s="17">
        <f t="shared" si="2"/>
        <v>0.33201160541586072</v>
      </c>
      <c r="T5" s="17">
        <f t="shared" si="2"/>
        <v>0.33197389885807504</v>
      </c>
      <c r="U5" s="17">
        <f t="shared" si="2"/>
        <v>0.32156122511112462</v>
      </c>
      <c r="V5" s="17">
        <f t="shared" si="2"/>
        <v>0.34084995663486556</v>
      </c>
      <c r="W5" s="17">
        <f t="shared" si="2"/>
        <v>0.32821614983113295</v>
      </c>
      <c r="X5" s="17">
        <f t="shared" si="2"/>
        <v>0.33876888324156429</v>
      </c>
      <c r="Y5" s="17">
        <f t="shared" si="2"/>
        <v>0.33012738853503187</v>
      </c>
      <c r="Z5" s="17">
        <f t="shared" si="2"/>
        <v>0.34297173167734007</v>
      </c>
      <c r="AA5" s="17">
        <f t="shared" si="2"/>
        <v>0.31588197206548885</v>
      </c>
      <c r="AB5" s="17">
        <f t="shared" si="2"/>
        <v>0.31774361002620261</v>
      </c>
      <c r="AC5" s="17">
        <f t="shared" si="2"/>
        <v>0.32714334124025751</v>
      </c>
      <c r="AD5" s="17">
        <f>AD4/AD3</f>
        <v>0.33567909922589728</v>
      </c>
      <c r="AE5" s="17">
        <f t="shared" si="2"/>
        <v>0.34560803434975618</v>
      </c>
      <c r="AF5" s="17">
        <f t="shared" si="2"/>
        <v>0.34040197581331971</v>
      </c>
      <c r="AG5" s="17" t="e">
        <f t="shared" si="2"/>
        <v>#DIV/0!</v>
      </c>
      <c r="AH5" s="17" t="e">
        <f t="shared" si="2"/>
        <v>#DIV/0!</v>
      </c>
      <c r="AI5" s="17"/>
      <c r="AJ5" s="364">
        <f>AJ4/AJ3</f>
        <v>0.33176197013987752</v>
      </c>
      <c r="AK5" s="19">
        <f>AK4/AK3</f>
        <v>0.32437552572192968</v>
      </c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</row>
    <row r="6" spans="1:253" x14ac:dyDescent="0.3">
      <c r="A6" s="12"/>
      <c r="B6" s="13" t="s">
        <v>75</v>
      </c>
      <c r="C6" s="257" t="s">
        <v>73</v>
      </c>
      <c r="D6" s="257" t="s">
        <v>74</v>
      </c>
      <c r="E6" s="257">
        <f>E92</f>
        <v>0</v>
      </c>
      <c r="F6" s="257">
        <f t="shared" ref="F6:AH6" si="3">F92</f>
        <v>0</v>
      </c>
      <c r="G6" s="257">
        <f t="shared" si="3"/>
        <v>0</v>
      </c>
      <c r="H6" s="257">
        <f t="shared" si="3"/>
        <v>0</v>
      </c>
      <c r="I6" s="257">
        <f t="shared" si="3"/>
        <v>388</v>
      </c>
      <c r="J6" s="257">
        <f>J92</f>
        <v>586</v>
      </c>
      <c r="K6" s="257">
        <f t="shared" si="3"/>
        <v>0</v>
      </c>
      <c r="L6" s="257">
        <f t="shared" si="3"/>
        <v>531</v>
      </c>
      <c r="M6" s="257">
        <f t="shared" si="3"/>
        <v>0</v>
      </c>
      <c r="N6" s="257">
        <f t="shared" si="3"/>
        <v>0</v>
      </c>
      <c r="O6" s="257">
        <f>O92</f>
        <v>398</v>
      </c>
      <c r="P6" s="257">
        <f>P92</f>
        <v>0</v>
      </c>
      <c r="Q6" s="257">
        <f>Q92</f>
        <v>0</v>
      </c>
      <c r="R6" s="257">
        <f>R92</f>
        <v>0</v>
      </c>
      <c r="S6" s="257">
        <f t="shared" si="3"/>
        <v>624</v>
      </c>
      <c r="T6" s="257">
        <f t="shared" si="3"/>
        <v>0</v>
      </c>
      <c r="U6" s="257">
        <f t="shared" si="3"/>
        <v>0</v>
      </c>
      <c r="V6" s="257">
        <f t="shared" si="3"/>
        <v>877</v>
      </c>
      <c r="W6" s="257">
        <f t="shared" si="3"/>
        <v>0</v>
      </c>
      <c r="X6" s="257">
        <f t="shared" si="3"/>
        <v>0</v>
      </c>
      <c r="Y6" s="257">
        <f t="shared" si="3"/>
        <v>541</v>
      </c>
      <c r="Z6" s="257">
        <f t="shared" si="3"/>
        <v>535</v>
      </c>
      <c r="AA6" s="257">
        <f t="shared" si="3"/>
        <v>0</v>
      </c>
      <c r="AB6" s="257">
        <f t="shared" si="3"/>
        <v>205</v>
      </c>
      <c r="AC6" s="257">
        <f t="shared" si="3"/>
        <v>0</v>
      </c>
      <c r="AD6" s="257">
        <f t="shared" si="3"/>
        <v>0</v>
      </c>
      <c r="AE6" s="257">
        <f t="shared" si="3"/>
        <v>0</v>
      </c>
      <c r="AF6" s="257">
        <f t="shared" si="3"/>
        <v>0</v>
      </c>
      <c r="AG6" s="257">
        <f t="shared" si="3"/>
        <v>0</v>
      </c>
      <c r="AH6" s="257">
        <f t="shared" si="3"/>
        <v>0</v>
      </c>
      <c r="AI6" s="257"/>
      <c r="AJ6" s="14">
        <f>SUM(E6:AI6)</f>
        <v>4685</v>
      </c>
      <c r="AK6" s="15">
        <f>AJ6+'[1]April-24'!AI6+'[1]May-24'!AJ6</f>
        <v>14644</v>
      </c>
    </row>
    <row r="7" spans="1:253" x14ac:dyDescent="0.3">
      <c r="A7" s="12"/>
      <c r="B7" s="13" t="s">
        <v>78</v>
      </c>
      <c r="C7" s="257" t="s">
        <v>73</v>
      </c>
      <c r="D7" s="257" t="s">
        <v>74</v>
      </c>
      <c r="E7" s="257">
        <f>E81</f>
        <v>0</v>
      </c>
      <c r="F7" s="257">
        <f t="shared" ref="F7:AH7" si="4">F81</f>
        <v>0</v>
      </c>
      <c r="G7" s="257">
        <f t="shared" si="4"/>
        <v>0</v>
      </c>
      <c r="H7" s="257">
        <f t="shared" si="4"/>
        <v>0</v>
      </c>
      <c r="I7" s="257">
        <f t="shared" si="4"/>
        <v>1370</v>
      </c>
      <c r="J7" s="257">
        <f t="shared" si="4"/>
        <v>2125</v>
      </c>
      <c r="K7" s="257">
        <f t="shared" si="4"/>
        <v>0</v>
      </c>
      <c r="L7" s="257">
        <f t="shared" si="4"/>
        <v>1882</v>
      </c>
      <c r="M7" s="257">
        <f t="shared" si="4"/>
        <v>0</v>
      </c>
      <c r="N7" s="257">
        <f t="shared" si="4"/>
        <v>0</v>
      </c>
      <c r="O7" s="257">
        <f t="shared" si="4"/>
        <v>1475</v>
      </c>
      <c r="P7" s="257">
        <f t="shared" si="4"/>
        <v>0</v>
      </c>
      <c r="Q7" s="257">
        <f t="shared" si="4"/>
        <v>0</v>
      </c>
      <c r="R7" s="257">
        <f t="shared" si="4"/>
        <v>0</v>
      </c>
      <c r="S7" s="257">
        <f t="shared" si="4"/>
        <v>2219</v>
      </c>
      <c r="T7" s="257">
        <f t="shared" si="4"/>
        <v>0</v>
      </c>
      <c r="U7" s="257">
        <f t="shared" si="4"/>
        <v>0</v>
      </c>
      <c r="V7" s="257">
        <f t="shared" si="4"/>
        <v>3141</v>
      </c>
      <c r="W7" s="257">
        <f t="shared" si="4"/>
        <v>0</v>
      </c>
      <c r="X7" s="257">
        <f t="shared" si="4"/>
        <v>0</v>
      </c>
      <c r="Y7" s="257">
        <f t="shared" si="4"/>
        <v>1965</v>
      </c>
      <c r="Z7" s="257">
        <f t="shared" si="4"/>
        <v>1887</v>
      </c>
      <c r="AA7" s="257">
        <f t="shared" si="4"/>
        <v>0</v>
      </c>
      <c r="AB7" s="257">
        <f t="shared" si="4"/>
        <v>745</v>
      </c>
      <c r="AC7" s="257">
        <f t="shared" si="4"/>
        <v>0</v>
      </c>
      <c r="AD7" s="257">
        <f t="shared" si="4"/>
        <v>0</v>
      </c>
      <c r="AE7" s="257">
        <f t="shared" si="4"/>
        <v>0</v>
      </c>
      <c r="AF7" s="257">
        <f t="shared" si="4"/>
        <v>0</v>
      </c>
      <c r="AG7" s="257">
        <f t="shared" si="4"/>
        <v>0</v>
      </c>
      <c r="AH7" s="257">
        <f t="shared" si="4"/>
        <v>0</v>
      </c>
      <c r="AI7" s="257"/>
      <c r="AJ7" s="14">
        <f>SUM(E7:AI7)</f>
        <v>16809</v>
      </c>
      <c r="AK7" s="15">
        <f>AJ7+'[1]April-24'!AI7+'[1]May-24'!AJ7</f>
        <v>53149</v>
      </c>
    </row>
    <row r="8" spans="1:253" s="20" customFormat="1" x14ac:dyDescent="0.3">
      <c r="A8" s="256">
        <v>2</v>
      </c>
      <c r="B8" s="16" t="s">
        <v>79</v>
      </c>
      <c r="C8" s="191" t="s">
        <v>73</v>
      </c>
      <c r="D8" s="191" t="s">
        <v>77</v>
      </c>
      <c r="E8" s="21" t="str">
        <f t="shared" ref="E8:AH8" si="5">IFERROR(E6/E7,"-")</f>
        <v>-</v>
      </c>
      <c r="F8" s="21" t="str">
        <f t="shared" si="5"/>
        <v>-</v>
      </c>
      <c r="G8" s="21" t="str">
        <f t="shared" si="5"/>
        <v>-</v>
      </c>
      <c r="H8" s="21" t="str">
        <f t="shared" si="5"/>
        <v>-</v>
      </c>
      <c r="I8" s="21">
        <f t="shared" si="5"/>
        <v>0.28321167883211679</v>
      </c>
      <c r="J8" s="21">
        <f t="shared" si="5"/>
        <v>0.27576470588235297</v>
      </c>
      <c r="K8" s="21" t="str">
        <f t="shared" si="5"/>
        <v>-</v>
      </c>
      <c r="L8" s="21">
        <f t="shared" si="5"/>
        <v>0.28214665249734328</v>
      </c>
      <c r="M8" s="21" t="str">
        <f t="shared" si="5"/>
        <v>-</v>
      </c>
      <c r="N8" s="21" t="str">
        <f t="shared" si="5"/>
        <v>-</v>
      </c>
      <c r="O8" s="21">
        <f t="shared" si="5"/>
        <v>0.26983050847457629</v>
      </c>
      <c r="P8" s="21" t="str">
        <f t="shared" si="5"/>
        <v>-</v>
      </c>
      <c r="Q8" s="21" t="str">
        <f t="shared" si="5"/>
        <v>-</v>
      </c>
      <c r="R8" s="21" t="str">
        <f t="shared" si="5"/>
        <v>-</v>
      </c>
      <c r="S8" s="21">
        <f t="shared" si="5"/>
        <v>0.28120775123929698</v>
      </c>
      <c r="T8" s="21" t="str">
        <f t="shared" si="5"/>
        <v>-</v>
      </c>
      <c r="U8" s="21" t="str">
        <f t="shared" si="5"/>
        <v>-</v>
      </c>
      <c r="V8" s="21">
        <f t="shared" si="5"/>
        <v>0.27921044253422478</v>
      </c>
      <c r="W8" s="21" t="str">
        <f t="shared" si="5"/>
        <v>-</v>
      </c>
      <c r="X8" s="21" t="str">
        <f t="shared" si="5"/>
        <v>-</v>
      </c>
      <c r="Y8" s="21">
        <f t="shared" si="5"/>
        <v>0.27531806615776083</v>
      </c>
      <c r="Z8" s="21">
        <f t="shared" si="5"/>
        <v>0.28351881293057762</v>
      </c>
      <c r="AA8" s="21" t="str">
        <f t="shared" si="5"/>
        <v>-</v>
      </c>
      <c r="AB8" s="21">
        <f t="shared" si="5"/>
        <v>0.27516778523489932</v>
      </c>
      <c r="AC8" s="21" t="str">
        <f t="shared" si="5"/>
        <v>-</v>
      </c>
      <c r="AD8" s="21" t="str">
        <f t="shared" si="5"/>
        <v>-</v>
      </c>
      <c r="AE8" s="21" t="str">
        <f t="shared" si="5"/>
        <v>-</v>
      </c>
      <c r="AF8" s="21" t="str">
        <f t="shared" si="5"/>
        <v>-</v>
      </c>
      <c r="AG8" s="21" t="str">
        <f t="shared" si="5"/>
        <v>-</v>
      </c>
      <c r="AH8" s="21" t="str">
        <f t="shared" si="5"/>
        <v>-</v>
      </c>
      <c r="AI8" s="21"/>
      <c r="AJ8" s="365">
        <f>AJ6/AJ7</f>
        <v>0.27871973347611401</v>
      </c>
      <c r="AK8" s="19">
        <f>AK6/AK7</f>
        <v>0.27552729120021074</v>
      </c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</row>
    <row r="9" spans="1:253" x14ac:dyDescent="0.3">
      <c r="A9" s="12"/>
      <c r="B9" s="13" t="s">
        <v>75</v>
      </c>
      <c r="C9" s="257" t="s">
        <v>73</v>
      </c>
      <c r="D9" s="257" t="s">
        <v>74</v>
      </c>
      <c r="E9" s="257">
        <f>E93</f>
        <v>0</v>
      </c>
      <c r="F9" s="257">
        <f t="shared" ref="F9:AH9" si="6">F93</f>
        <v>0</v>
      </c>
      <c r="G9" s="257">
        <f t="shared" si="6"/>
        <v>0</v>
      </c>
      <c r="H9" s="257">
        <f t="shared" si="6"/>
        <v>1164</v>
      </c>
      <c r="I9" s="257">
        <f t="shared" si="6"/>
        <v>0</v>
      </c>
      <c r="J9" s="257">
        <f t="shared" si="6"/>
        <v>0</v>
      </c>
      <c r="K9" s="257">
        <f t="shared" si="6"/>
        <v>0</v>
      </c>
      <c r="L9" s="257">
        <f t="shared" si="6"/>
        <v>644</v>
      </c>
      <c r="M9" s="257">
        <f t="shared" si="6"/>
        <v>0</v>
      </c>
      <c r="N9" s="257">
        <f t="shared" si="6"/>
        <v>337</v>
      </c>
      <c r="O9" s="257">
        <f t="shared" si="6"/>
        <v>0</v>
      </c>
      <c r="P9" s="257">
        <f t="shared" si="6"/>
        <v>791</v>
      </c>
      <c r="Q9" s="257">
        <f t="shared" si="6"/>
        <v>0</v>
      </c>
      <c r="R9" s="257">
        <f t="shared" si="6"/>
        <v>0</v>
      </c>
      <c r="S9" s="257">
        <f t="shared" si="6"/>
        <v>784</v>
      </c>
      <c r="T9" s="257">
        <f t="shared" si="6"/>
        <v>0</v>
      </c>
      <c r="U9" s="257">
        <f t="shared" si="6"/>
        <v>677</v>
      </c>
      <c r="V9" s="257">
        <f t="shared" si="6"/>
        <v>486</v>
      </c>
      <c r="W9" s="257">
        <f t="shared" si="6"/>
        <v>0</v>
      </c>
      <c r="X9" s="257">
        <f t="shared" si="6"/>
        <v>655</v>
      </c>
      <c r="Y9" s="257">
        <f t="shared" si="6"/>
        <v>0</v>
      </c>
      <c r="Z9" s="257">
        <f t="shared" si="6"/>
        <v>323</v>
      </c>
      <c r="AA9" s="257">
        <f t="shared" si="6"/>
        <v>1129</v>
      </c>
      <c r="AB9" s="257">
        <f t="shared" si="6"/>
        <v>0</v>
      </c>
      <c r="AC9" s="257">
        <f t="shared" si="6"/>
        <v>0</v>
      </c>
      <c r="AD9" s="257">
        <f t="shared" si="6"/>
        <v>792</v>
      </c>
      <c r="AE9" s="257">
        <f t="shared" si="6"/>
        <v>0</v>
      </c>
      <c r="AF9" s="257">
        <f t="shared" si="6"/>
        <v>937</v>
      </c>
      <c r="AG9" s="257">
        <f t="shared" si="6"/>
        <v>0</v>
      </c>
      <c r="AH9" s="257">
        <f t="shared" si="6"/>
        <v>0</v>
      </c>
      <c r="AI9" s="257"/>
      <c r="AJ9" s="22">
        <f>SUM(E9:AI9)</f>
        <v>8719</v>
      </c>
      <c r="AK9" s="15">
        <f>AJ9+'[1]April-24'!AI9</f>
        <v>16517</v>
      </c>
    </row>
    <row r="10" spans="1:253" x14ac:dyDescent="0.3">
      <c r="A10" s="12"/>
      <c r="B10" s="13" t="s">
        <v>80</v>
      </c>
      <c r="C10" s="257" t="s">
        <v>73</v>
      </c>
      <c r="D10" s="257" t="s">
        <v>74</v>
      </c>
      <c r="E10" s="257">
        <f>E82</f>
        <v>0</v>
      </c>
      <c r="F10" s="257">
        <f t="shared" ref="F10:AH10" si="7">F82</f>
        <v>0</v>
      </c>
      <c r="G10" s="257">
        <f t="shared" si="7"/>
        <v>0</v>
      </c>
      <c r="H10" s="257">
        <f t="shared" si="7"/>
        <v>3875</v>
      </c>
      <c r="I10" s="257">
        <f t="shared" si="7"/>
        <v>0</v>
      </c>
      <c r="J10" s="257">
        <f t="shared" si="7"/>
        <v>0</v>
      </c>
      <c r="K10" s="257">
        <f t="shared" si="7"/>
        <v>0</v>
      </c>
      <c r="L10" s="257">
        <f t="shared" si="7"/>
        <v>2142</v>
      </c>
      <c r="M10" s="257">
        <f t="shared" si="7"/>
        <v>0</v>
      </c>
      <c r="N10" s="257">
        <f t="shared" si="7"/>
        <v>1119</v>
      </c>
      <c r="O10" s="257">
        <f t="shared" si="7"/>
        <v>0</v>
      </c>
      <c r="P10" s="257">
        <f t="shared" si="7"/>
        <v>2615</v>
      </c>
      <c r="Q10" s="257">
        <f t="shared" si="7"/>
        <v>0</v>
      </c>
      <c r="R10" s="257">
        <f t="shared" si="7"/>
        <v>0</v>
      </c>
      <c r="S10" s="257">
        <f t="shared" si="7"/>
        <v>2610</v>
      </c>
      <c r="T10" s="257">
        <f t="shared" si="7"/>
        <v>0</v>
      </c>
      <c r="U10" s="257">
        <f t="shared" si="7"/>
        <v>2290</v>
      </c>
      <c r="V10" s="257">
        <f t="shared" si="7"/>
        <v>1595</v>
      </c>
      <c r="W10" s="257">
        <f t="shared" si="7"/>
        <v>0</v>
      </c>
      <c r="X10" s="257">
        <f t="shared" si="7"/>
        <v>2170</v>
      </c>
      <c r="Y10" s="257">
        <f t="shared" si="7"/>
        <v>0</v>
      </c>
      <c r="Z10" s="257">
        <f t="shared" si="7"/>
        <v>1049</v>
      </c>
      <c r="AA10" s="257">
        <f t="shared" si="7"/>
        <v>3750</v>
      </c>
      <c r="AB10" s="257">
        <f t="shared" si="7"/>
        <v>0</v>
      </c>
      <c r="AC10" s="257">
        <f t="shared" si="7"/>
        <v>0</v>
      </c>
      <c r="AD10" s="257">
        <f t="shared" si="7"/>
        <v>2565</v>
      </c>
      <c r="AE10" s="257">
        <f t="shared" si="7"/>
        <v>0</v>
      </c>
      <c r="AF10" s="257">
        <f t="shared" si="7"/>
        <v>3106</v>
      </c>
      <c r="AG10" s="257">
        <f t="shared" si="7"/>
        <v>0</v>
      </c>
      <c r="AH10" s="257">
        <f t="shared" si="7"/>
        <v>0</v>
      </c>
      <c r="AI10" s="257"/>
      <c r="AJ10" s="22">
        <f>SUM(E10:AI10)</f>
        <v>28886</v>
      </c>
      <c r="AK10" s="15">
        <f>AJ10+'[1]April-24'!AI10</f>
        <v>54738</v>
      </c>
    </row>
    <row r="11" spans="1:253" x14ac:dyDescent="0.3">
      <c r="A11" s="256">
        <v>3</v>
      </c>
      <c r="B11" s="16" t="s">
        <v>81</v>
      </c>
      <c r="C11" s="191" t="s">
        <v>73</v>
      </c>
      <c r="D11" s="191" t="s">
        <v>77</v>
      </c>
      <c r="E11" s="21" t="str">
        <f>IFERROR(E9/E10,"-")</f>
        <v>-</v>
      </c>
      <c r="F11" s="21" t="str">
        <f t="shared" ref="F11:AH11" si="8">IFERROR(F9/F10,"-")</f>
        <v>-</v>
      </c>
      <c r="G11" s="21" t="str">
        <f t="shared" si="8"/>
        <v>-</v>
      </c>
      <c r="H11" s="21">
        <f t="shared" si="8"/>
        <v>0.30038709677419356</v>
      </c>
      <c r="I11" s="21" t="str">
        <f t="shared" si="8"/>
        <v>-</v>
      </c>
      <c r="J11" s="21" t="str">
        <f t="shared" si="8"/>
        <v>-</v>
      </c>
      <c r="K11" s="21" t="str">
        <f t="shared" si="8"/>
        <v>-</v>
      </c>
      <c r="L11" s="21">
        <f t="shared" si="8"/>
        <v>0.30065359477124182</v>
      </c>
      <c r="M11" s="21" t="str">
        <f t="shared" si="8"/>
        <v>-</v>
      </c>
      <c r="N11" s="21">
        <f t="shared" si="8"/>
        <v>0.30116175156389635</v>
      </c>
      <c r="O11" s="21" t="str">
        <f t="shared" si="8"/>
        <v>-</v>
      </c>
      <c r="P11" s="21">
        <f t="shared" si="8"/>
        <v>0.30248565965583174</v>
      </c>
      <c r="Q11" s="21" t="str">
        <f t="shared" si="8"/>
        <v>-</v>
      </c>
      <c r="R11" s="21" t="str">
        <f t="shared" si="8"/>
        <v>-</v>
      </c>
      <c r="S11" s="21">
        <f t="shared" si="8"/>
        <v>0.30038314176245212</v>
      </c>
      <c r="T11" s="21" t="str">
        <f t="shared" si="8"/>
        <v>-</v>
      </c>
      <c r="U11" s="21">
        <f t="shared" si="8"/>
        <v>0.29563318777292574</v>
      </c>
      <c r="V11" s="21">
        <f t="shared" si="8"/>
        <v>0.30470219435736678</v>
      </c>
      <c r="W11" s="21" t="str">
        <f t="shared" si="8"/>
        <v>-</v>
      </c>
      <c r="X11" s="21">
        <f t="shared" si="8"/>
        <v>0.30184331797235026</v>
      </c>
      <c r="Y11" s="21" t="str">
        <f t="shared" si="8"/>
        <v>-</v>
      </c>
      <c r="Z11" s="21">
        <f t="shared" si="8"/>
        <v>0.30791229742612014</v>
      </c>
      <c r="AA11" s="21">
        <f t="shared" si="8"/>
        <v>0.30106666666666665</v>
      </c>
      <c r="AB11" s="21" t="str">
        <f t="shared" si="8"/>
        <v>-</v>
      </c>
      <c r="AC11" s="21" t="str">
        <f t="shared" si="8"/>
        <v>-</v>
      </c>
      <c r="AD11" s="21">
        <f t="shared" si="8"/>
        <v>0.30877192982456142</v>
      </c>
      <c r="AE11" s="21" t="str">
        <f t="shared" si="8"/>
        <v>-</v>
      </c>
      <c r="AF11" s="21">
        <f t="shared" si="8"/>
        <v>0.3016741790083709</v>
      </c>
      <c r="AG11" s="21" t="str">
        <f t="shared" si="8"/>
        <v>-</v>
      </c>
      <c r="AH11" s="21" t="str">
        <f t="shared" si="8"/>
        <v>-</v>
      </c>
      <c r="AI11" s="21"/>
      <c r="AJ11" s="364">
        <f>AJ9/AJ10</f>
        <v>0.30184172263380182</v>
      </c>
      <c r="AK11" s="23">
        <f>AK9/AK10</f>
        <v>0.3017465015163141</v>
      </c>
    </row>
    <row r="12" spans="1:253" x14ac:dyDescent="0.3">
      <c r="A12" s="12"/>
      <c r="B12" s="13" t="s">
        <v>82</v>
      </c>
      <c r="C12" s="257" t="s">
        <v>83</v>
      </c>
      <c r="D12" s="257" t="s">
        <v>84</v>
      </c>
      <c r="E12" s="24">
        <v>1109.2</v>
      </c>
      <c r="F12" s="24">
        <v>1108.1099999999999</v>
      </c>
      <c r="G12" s="24">
        <v>916.83</v>
      </c>
      <c r="H12" s="24">
        <v>1121.81</v>
      </c>
      <c r="I12" s="24">
        <v>1171.04</v>
      </c>
      <c r="J12" s="24">
        <v>1114.96</v>
      </c>
      <c r="K12" s="25">
        <v>1082.2</v>
      </c>
      <c r="L12" s="24">
        <v>1095.2</v>
      </c>
      <c r="M12" s="24">
        <v>1097.1400000000001</v>
      </c>
      <c r="N12" s="24">
        <v>1034.19</v>
      </c>
      <c r="O12" s="24">
        <v>1021.4</v>
      </c>
      <c r="P12" s="24">
        <v>1063.6400000000001</v>
      </c>
      <c r="Q12" s="24">
        <v>1065.76</v>
      </c>
      <c r="R12" s="24">
        <v>1112.2</v>
      </c>
      <c r="S12" s="24">
        <v>1045.2</v>
      </c>
      <c r="T12" s="24">
        <v>1061.0999999999999</v>
      </c>
      <c r="U12" s="24">
        <v>1078.17</v>
      </c>
      <c r="V12" s="24">
        <v>1137.1199999999999</v>
      </c>
      <c r="W12" s="24">
        <v>1128.24</v>
      </c>
      <c r="X12" s="24">
        <v>1108.6600000000001</v>
      </c>
      <c r="Y12" s="24">
        <v>1064.02</v>
      </c>
      <c r="Z12" s="24">
        <v>1185.42</v>
      </c>
      <c r="AA12" s="24">
        <v>1153.19</v>
      </c>
      <c r="AB12" s="24">
        <v>1175.24</v>
      </c>
      <c r="AC12" s="24">
        <v>1159.57</v>
      </c>
      <c r="AD12" s="24">
        <v>1203.97</v>
      </c>
      <c r="AE12" s="24">
        <v>1191.57</v>
      </c>
      <c r="AF12" s="24">
        <v>1152.3</v>
      </c>
      <c r="AG12" s="24"/>
      <c r="AH12" s="24"/>
      <c r="AI12" s="24"/>
      <c r="AJ12" s="24"/>
    </row>
    <row r="13" spans="1:253" x14ac:dyDescent="0.3">
      <c r="A13" s="12"/>
      <c r="B13" s="26" t="s">
        <v>85</v>
      </c>
      <c r="C13" s="257" t="s">
        <v>83</v>
      </c>
      <c r="D13" s="257" t="s">
        <v>86</v>
      </c>
      <c r="E13" s="27">
        <v>5.37</v>
      </c>
      <c r="F13" s="27">
        <v>5.25</v>
      </c>
      <c r="G13" s="27">
        <v>5.33</v>
      </c>
      <c r="H13" s="27">
        <v>5.33</v>
      </c>
      <c r="I13" s="27">
        <v>5.71</v>
      </c>
      <c r="J13" s="27">
        <v>5.8</v>
      </c>
      <c r="K13" s="28">
        <v>5.83</v>
      </c>
      <c r="L13" s="28">
        <v>5.28</v>
      </c>
      <c r="M13" s="28">
        <v>5.26</v>
      </c>
      <c r="N13" s="27">
        <v>5.3</v>
      </c>
      <c r="O13" s="27">
        <v>5.36</v>
      </c>
      <c r="P13" s="27">
        <v>5.48</v>
      </c>
      <c r="Q13" s="27">
        <v>5.43</v>
      </c>
      <c r="R13" s="27">
        <v>5.33</v>
      </c>
      <c r="S13" s="27">
        <v>5.46</v>
      </c>
      <c r="T13" s="24">
        <v>5.38</v>
      </c>
      <c r="U13" s="24">
        <v>5.53</v>
      </c>
      <c r="V13" s="24">
        <v>5.3</v>
      </c>
      <c r="W13" s="24">
        <v>5.35</v>
      </c>
      <c r="X13" s="24">
        <v>5.39</v>
      </c>
      <c r="Y13" s="24">
        <v>5.36</v>
      </c>
      <c r="Z13" s="24">
        <v>5.39</v>
      </c>
      <c r="AA13" s="24">
        <v>5.28</v>
      </c>
      <c r="AB13" s="24">
        <v>5.3</v>
      </c>
      <c r="AC13" s="24">
        <v>5.24</v>
      </c>
      <c r="AD13" s="24">
        <v>5.26</v>
      </c>
      <c r="AE13" s="27">
        <v>5.29</v>
      </c>
      <c r="AF13" s="27">
        <v>5.32</v>
      </c>
      <c r="AG13" s="27"/>
      <c r="AH13" s="27"/>
      <c r="AI13" s="27"/>
      <c r="AJ13" s="29"/>
    </row>
    <row r="14" spans="1:253" x14ac:dyDescent="0.3">
      <c r="A14" s="12"/>
      <c r="B14" s="26" t="s">
        <v>87</v>
      </c>
      <c r="C14" s="257" t="s">
        <v>83</v>
      </c>
      <c r="D14" s="257" t="s">
        <v>88</v>
      </c>
      <c r="E14" s="25">
        <f>E12/E13*1000</f>
        <v>206554.93482309126</v>
      </c>
      <c r="F14" s="25">
        <f>F12/F13*1000</f>
        <v>211068.57142857139</v>
      </c>
      <c r="G14" s="25">
        <f>G12/G13*1000</f>
        <v>172013.13320825517</v>
      </c>
      <c r="H14" s="25">
        <f>H12/H13*1000</f>
        <v>210470.91932457784</v>
      </c>
      <c r="I14" s="25">
        <f t="shared" ref="I14:AH14" si="9">I12/I13*1000</f>
        <v>205085.81436077057</v>
      </c>
      <c r="J14" s="25">
        <f t="shared" si="9"/>
        <v>192234.48275862072</v>
      </c>
      <c r="K14" s="25">
        <f t="shared" si="9"/>
        <v>185626.07204116639</v>
      </c>
      <c r="L14" s="25">
        <f t="shared" si="9"/>
        <v>207424.24242424243</v>
      </c>
      <c r="M14" s="25">
        <f t="shared" si="9"/>
        <v>208581.74904942967</v>
      </c>
      <c r="N14" s="25">
        <f t="shared" si="9"/>
        <v>195130.1886792453</v>
      </c>
      <c r="O14" s="25">
        <f t="shared" si="9"/>
        <v>190559.70149253731</v>
      </c>
      <c r="P14" s="25">
        <f t="shared" si="9"/>
        <v>194094.89051094893</v>
      </c>
      <c r="Q14" s="25">
        <f t="shared" si="9"/>
        <v>196272.55985267035</v>
      </c>
      <c r="R14" s="25">
        <f>R12/R13*1000</f>
        <v>208667.91744840526</v>
      </c>
      <c r="S14" s="25">
        <f>S12/S13*1000</f>
        <v>191428.57142857145</v>
      </c>
      <c r="T14" s="25">
        <f t="shared" si="9"/>
        <v>197230.48327137544</v>
      </c>
      <c r="U14" s="25">
        <f t="shared" si="9"/>
        <v>194967.45027124774</v>
      </c>
      <c r="V14" s="25">
        <f t="shared" si="9"/>
        <v>214550.94339622642</v>
      </c>
      <c r="W14" s="25">
        <f>W12/W13*1000</f>
        <v>210885.98130841122</v>
      </c>
      <c r="X14" s="25">
        <f t="shared" si="9"/>
        <v>205688.31168831172</v>
      </c>
      <c r="Y14" s="25">
        <f t="shared" si="9"/>
        <v>198511.19402985074</v>
      </c>
      <c r="Z14" s="25">
        <f t="shared" si="9"/>
        <v>219929.49907235624</v>
      </c>
      <c r="AA14" s="25">
        <f t="shared" si="9"/>
        <v>218407.19696969696</v>
      </c>
      <c r="AB14" s="25">
        <f t="shared" si="9"/>
        <v>221743.39622641512</v>
      </c>
      <c r="AC14" s="25">
        <f t="shared" si="9"/>
        <v>221291.98473282441</v>
      </c>
      <c r="AD14" s="25">
        <f t="shared" si="9"/>
        <v>228891.6349809886</v>
      </c>
      <c r="AE14" s="25">
        <f t="shared" si="9"/>
        <v>225249.52741020793</v>
      </c>
      <c r="AF14" s="25">
        <f t="shared" si="9"/>
        <v>216597.74436090223</v>
      </c>
      <c r="AG14" s="25" t="e">
        <f t="shared" si="9"/>
        <v>#DIV/0!</v>
      </c>
      <c r="AH14" s="25" t="e">
        <f t="shared" si="9"/>
        <v>#DIV/0!</v>
      </c>
      <c r="AI14" s="25"/>
      <c r="AJ14" s="30">
        <f>SUMIF(E15:AI15,"&gt;5950",E14:AI14)</f>
        <v>5749159.0965499198</v>
      </c>
    </row>
    <row r="15" spans="1:253" x14ac:dyDescent="0.3">
      <c r="A15" s="12"/>
      <c r="B15" s="13" t="s">
        <v>62</v>
      </c>
      <c r="C15" s="257" t="s">
        <v>83</v>
      </c>
      <c r="D15" s="257" t="s">
        <v>84</v>
      </c>
      <c r="E15" s="31">
        <f>E72</f>
        <v>7262</v>
      </c>
      <c r="F15" s="31">
        <f t="shared" ref="F15:AH15" si="10">F72</f>
        <v>7182</v>
      </c>
      <c r="G15" s="31">
        <f t="shared" si="10"/>
        <v>6595</v>
      </c>
      <c r="H15" s="31">
        <f t="shared" si="10"/>
        <v>7308</v>
      </c>
      <c r="I15" s="31">
        <f t="shared" si="10"/>
        <v>7359</v>
      </c>
      <c r="J15" s="31">
        <f t="shared" si="10"/>
        <v>7314</v>
      </c>
      <c r="K15" s="31">
        <f t="shared" si="10"/>
        <v>7350</v>
      </c>
      <c r="L15" s="31">
        <f t="shared" si="10"/>
        <v>7286</v>
      </c>
      <c r="M15" s="31">
        <f t="shared" si="10"/>
        <v>7220</v>
      </c>
      <c r="N15" s="31">
        <f t="shared" si="10"/>
        <v>7138</v>
      </c>
      <c r="O15" s="31">
        <f t="shared" si="10"/>
        <v>7190</v>
      </c>
      <c r="P15" s="31">
        <f t="shared" si="10"/>
        <v>7132</v>
      </c>
      <c r="Q15" s="31">
        <f t="shared" si="10"/>
        <v>7145</v>
      </c>
      <c r="R15" s="31">
        <f t="shared" si="10"/>
        <v>7014</v>
      </c>
      <c r="S15" s="31">
        <f t="shared" si="10"/>
        <v>7002</v>
      </c>
      <c r="T15" s="31">
        <f t="shared" si="10"/>
        <v>7161</v>
      </c>
      <c r="U15" s="31">
        <f t="shared" si="10"/>
        <v>7001</v>
      </c>
      <c r="V15" s="31">
        <f t="shared" si="10"/>
        <v>7148</v>
      </c>
      <c r="W15" s="31">
        <f t="shared" si="10"/>
        <v>7029</v>
      </c>
      <c r="X15" s="31">
        <f t="shared" si="10"/>
        <v>7088</v>
      </c>
      <c r="Y15" s="31">
        <f t="shared" si="10"/>
        <v>7002</v>
      </c>
      <c r="Z15" s="31">
        <f t="shared" si="10"/>
        <v>7166</v>
      </c>
      <c r="AA15" s="31">
        <f t="shared" si="10"/>
        <v>7229</v>
      </c>
      <c r="AB15" s="31">
        <f t="shared" si="10"/>
        <v>7055</v>
      </c>
      <c r="AC15" s="31">
        <f t="shared" si="10"/>
        <v>7046</v>
      </c>
      <c r="AD15" s="31">
        <f t="shared" si="10"/>
        <v>7223</v>
      </c>
      <c r="AE15" s="31">
        <f t="shared" si="10"/>
        <v>7294</v>
      </c>
      <c r="AF15" s="31">
        <f t="shared" si="10"/>
        <v>7167</v>
      </c>
      <c r="AG15" s="31">
        <f t="shared" si="10"/>
        <v>0</v>
      </c>
      <c r="AH15" s="31">
        <f t="shared" si="10"/>
        <v>0</v>
      </c>
      <c r="AI15" s="31"/>
      <c r="AJ15" s="32">
        <f>SUM(E15:AI15)</f>
        <v>200106</v>
      </c>
      <c r="AK15" s="15">
        <f>AJ15+'[1]April-24'!AI15+'[1]May-24'!AJ15</f>
        <v>629562</v>
      </c>
    </row>
    <row r="16" spans="1:253" s="20" customFormat="1" x14ac:dyDescent="0.3">
      <c r="A16" s="256">
        <v>4</v>
      </c>
      <c r="B16" s="16" t="s">
        <v>89</v>
      </c>
      <c r="C16" s="191" t="s">
        <v>83</v>
      </c>
      <c r="D16" s="191" t="s">
        <v>44</v>
      </c>
      <c r="E16" s="33">
        <f>E14/E15</f>
        <v>28.443257342755611</v>
      </c>
      <c r="F16" s="33">
        <f>F14/F15</f>
        <v>29.388550741934196</v>
      </c>
      <c r="G16" s="33">
        <f t="shared" ref="G16:AH16" si="11">G14/G15</f>
        <v>26.082355300721026</v>
      </c>
      <c r="H16" s="33">
        <f t="shared" si="11"/>
        <v>28.800071062476444</v>
      </c>
      <c r="I16" s="33">
        <f t="shared" si="11"/>
        <v>27.868706938547433</v>
      </c>
      <c r="J16" s="33">
        <f t="shared" si="11"/>
        <v>26.283084872658016</v>
      </c>
      <c r="K16" s="33">
        <f t="shared" si="11"/>
        <v>25.255247896757332</v>
      </c>
      <c r="L16" s="33">
        <f t="shared" si="11"/>
        <v>28.468877631655563</v>
      </c>
      <c r="M16" s="33">
        <f t="shared" si="11"/>
        <v>28.889438926513805</v>
      </c>
      <c r="N16" s="33">
        <f t="shared" si="11"/>
        <v>27.336815449600071</v>
      </c>
      <c r="O16" s="33">
        <f t="shared" si="11"/>
        <v>26.503435534427997</v>
      </c>
      <c r="P16" s="33">
        <f t="shared" si="11"/>
        <v>27.214650940963114</v>
      </c>
      <c r="Q16" s="33">
        <f t="shared" si="11"/>
        <v>27.469917404152604</v>
      </c>
      <c r="R16" s="33">
        <f t="shared" si="11"/>
        <v>29.750202088452419</v>
      </c>
      <c r="S16" s="33">
        <f t="shared" si="11"/>
        <v>27.339127596197009</v>
      </c>
      <c r="T16" s="33">
        <f t="shared" si="11"/>
        <v>27.542310190109685</v>
      </c>
      <c r="U16" s="33">
        <f t="shared" si="11"/>
        <v>27.848514536673008</v>
      </c>
      <c r="V16" s="33">
        <f t="shared" si="11"/>
        <v>30.015520900423393</v>
      </c>
      <c r="W16" s="33">
        <f>W14/W15</f>
        <v>30.002273624756185</v>
      </c>
      <c r="X16" s="33">
        <f t="shared" si="11"/>
        <v>29.019231333001088</v>
      </c>
      <c r="Y16" s="33">
        <f t="shared" si="11"/>
        <v>28.350641820886995</v>
      </c>
      <c r="Z16" s="33">
        <f t="shared" si="11"/>
        <v>30.690692027959287</v>
      </c>
      <c r="AA16" s="33">
        <f t="shared" si="11"/>
        <v>30.212643099971913</v>
      </c>
      <c r="AB16" s="33">
        <f t="shared" si="11"/>
        <v>31.430672746479818</v>
      </c>
      <c r="AC16" s="33">
        <f t="shared" si="11"/>
        <v>31.406753439231395</v>
      </c>
      <c r="AD16" s="33">
        <f t="shared" si="11"/>
        <v>31.689275229266038</v>
      </c>
      <c r="AE16" s="33">
        <f t="shared" si="11"/>
        <v>30.881481684975039</v>
      </c>
      <c r="AF16" s="33">
        <f t="shared" si="11"/>
        <v>30.221535420803995</v>
      </c>
      <c r="AG16" s="33" t="e">
        <f t="shared" si="11"/>
        <v>#DIV/0!</v>
      </c>
      <c r="AH16" s="33" t="e">
        <f t="shared" si="11"/>
        <v>#DIV/0!</v>
      </c>
      <c r="AI16" s="33"/>
      <c r="AJ16" s="34">
        <f>AJ14/AJ15</f>
        <v>28.730568281560373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</row>
    <row r="17" spans="1:253" x14ac:dyDescent="0.3">
      <c r="A17" s="12"/>
      <c r="B17" s="13" t="s">
        <v>90</v>
      </c>
      <c r="C17" s="257" t="s">
        <v>83</v>
      </c>
      <c r="D17" s="257" t="s">
        <v>84</v>
      </c>
      <c r="E17" s="24">
        <v>1060.2</v>
      </c>
      <c r="F17" s="24">
        <v>1118.3</v>
      </c>
      <c r="G17" s="24">
        <v>1116.8800000000001</v>
      </c>
      <c r="H17" s="24">
        <v>938</v>
      </c>
      <c r="I17" s="24">
        <v>0</v>
      </c>
      <c r="J17" s="24">
        <v>0</v>
      </c>
      <c r="K17" s="24">
        <v>0</v>
      </c>
      <c r="L17" s="24">
        <v>1146.1400000000001</v>
      </c>
      <c r="M17" s="24">
        <v>1174.1400000000001</v>
      </c>
      <c r="N17" s="24">
        <v>1168.31</v>
      </c>
      <c r="O17" s="24">
        <v>1051.77</v>
      </c>
      <c r="P17" s="24">
        <v>1011.86</v>
      </c>
      <c r="Q17" s="24">
        <v>837.91</v>
      </c>
      <c r="R17" s="24">
        <v>1072.46</v>
      </c>
      <c r="S17" s="24">
        <v>1022.03</v>
      </c>
      <c r="T17" s="24">
        <v>947.39</v>
      </c>
      <c r="U17" s="24">
        <v>894.53</v>
      </c>
      <c r="V17" s="24">
        <v>1051.4000000000001</v>
      </c>
      <c r="W17" s="24">
        <v>1033.32</v>
      </c>
      <c r="X17" s="24">
        <v>1093.4000000000001</v>
      </c>
      <c r="Y17" s="24">
        <v>1027.8900000000001</v>
      </c>
      <c r="Z17" s="24">
        <v>749.17</v>
      </c>
      <c r="AA17" s="24">
        <v>991.66</v>
      </c>
      <c r="AB17" s="24">
        <v>859.36</v>
      </c>
      <c r="AC17" s="24">
        <v>947.54</v>
      </c>
      <c r="AD17" s="24">
        <v>1033.6400000000001</v>
      </c>
      <c r="AE17" s="24">
        <v>975.58</v>
      </c>
      <c r="AF17" s="24">
        <v>956.02</v>
      </c>
      <c r="AG17" s="24"/>
      <c r="AH17" s="24"/>
      <c r="AI17" s="24"/>
      <c r="AJ17" s="14"/>
    </row>
    <row r="18" spans="1:253" x14ac:dyDescent="0.3">
      <c r="A18" s="12"/>
      <c r="B18" s="13" t="s">
        <v>91</v>
      </c>
      <c r="C18" s="257" t="s">
        <v>83</v>
      </c>
      <c r="D18" s="257" t="s">
        <v>84</v>
      </c>
      <c r="E18" s="24">
        <v>112.54</v>
      </c>
      <c r="F18" s="24">
        <v>110.45</v>
      </c>
      <c r="G18" s="24">
        <v>107.98</v>
      </c>
      <c r="H18" s="24">
        <v>101.48</v>
      </c>
      <c r="I18" s="24">
        <v>0</v>
      </c>
      <c r="J18" s="24">
        <v>0</v>
      </c>
      <c r="K18" s="24">
        <v>0</v>
      </c>
      <c r="L18" s="24">
        <v>111.79</v>
      </c>
      <c r="M18" s="24">
        <v>117.94</v>
      </c>
      <c r="N18" s="24">
        <v>124.85</v>
      </c>
      <c r="O18" s="24">
        <v>112.93</v>
      </c>
      <c r="P18" s="24">
        <v>114.21</v>
      </c>
      <c r="Q18" s="25">
        <v>87.84</v>
      </c>
      <c r="R18" s="24">
        <v>111.05</v>
      </c>
      <c r="S18" s="24">
        <v>121.98</v>
      </c>
      <c r="T18" s="24">
        <v>104.97</v>
      </c>
      <c r="U18" s="24">
        <v>112.83</v>
      </c>
      <c r="V18" s="24">
        <v>114.12</v>
      </c>
      <c r="W18" s="24">
        <v>123.61</v>
      </c>
      <c r="X18" s="24">
        <v>128.69</v>
      </c>
      <c r="Y18" s="24">
        <v>115.96</v>
      </c>
      <c r="Z18" s="24">
        <v>96.54</v>
      </c>
      <c r="AA18" s="24">
        <v>109.8</v>
      </c>
      <c r="AB18" s="24">
        <v>96.95</v>
      </c>
      <c r="AC18" s="24">
        <v>106.23</v>
      </c>
      <c r="AD18" s="24">
        <v>113.23</v>
      </c>
      <c r="AE18" s="24">
        <v>104.56</v>
      </c>
      <c r="AF18" s="24">
        <v>112.74</v>
      </c>
      <c r="AG18" s="24"/>
      <c r="AH18" s="24"/>
      <c r="AI18" s="24"/>
      <c r="AJ18" s="14"/>
    </row>
    <row r="19" spans="1:253" x14ac:dyDescent="0.3">
      <c r="A19" s="12"/>
      <c r="B19" s="13" t="s">
        <v>85</v>
      </c>
      <c r="C19" s="257" t="s">
        <v>83</v>
      </c>
      <c r="D19" s="257" t="s">
        <v>86</v>
      </c>
      <c r="E19" s="27">
        <f t="shared" ref="E19:AH19" si="12">E13</f>
        <v>5.37</v>
      </c>
      <c r="F19" s="27">
        <f t="shared" si="12"/>
        <v>5.25</v>
      </c>
      <c r="G19" s="27">
        <f t="shared" si="12"/>
        <v>5.33</v>
      </c>
      <c r="H19" s="27">
        <f t="shared" si="12"/>
        <v>5.33</v>
      </c>
      <c r="I19" s="27">
        <f t="shared" si="12"/>
        <v>5.71</v>
      </c>
      <c r="J19" s="27">
        <f t="shared" si="12"/>
        <v>5.8</v>
      </c>
      <c r="K19" s="27">
        <f t="shared" si="12"/>
        <v>5.83</v>
      </c>
      <c r="L19" s="27">
        <f t="shared" si="12"/>
        <v>5.28</v>
      </c>
      <c r="M19" s="27">
        <f t="shared" si="12"/>
        <v>5.26</v>
      </c>
      <c r="N19" s="27">
        <f t="shared" si="12"/>
        <v>5.3</v>
      </c>
      <c r="O19" s="27">
        <f t="shared" si="12"/>
        <v>5.36</v>
      </c>
      <c r="P19" s="27">
        <f t="shared" si="12"/>
        <v>5.48</v>
      </c>
      <c r="Q19" s="27">
        <f t="shared" si="12"/>
        <v>5.43</v>
      </c>
      <c r="R19" s="27">
        <f>R13</f>
        <v>5.33</v>
      </c>
      <c r="S19" s="27">
        <f>S13</f>
        <v>5.46</v>
      </c>
      <c r="T19" s="27">
        <f t="shared" si="12"/>
        <v>5.38</v>
      </c>
      <c r="U19" s="27">
        <f t="shared" si="12"/>
        <v>5.53</v>
      </c>
      <c r="V19" s="27">
        <f t="shared" si="12"/>
        <v>5.3</v>
      </c>
      <c r="W19" s="27">
        <f t="shared" si="12"/>
        <v>5.35</v>
      </c>
      <c r="X19" s="27">
        <f t="shared" si="12"/>
        <v>5.39</v>
      </c>
      <c r="Y19" s="27">
        <f t="shared" si="12"/>
        <v>5.36</v>
      </c>
      <c r="Z19" s="27">
        <f t="shared" si="12"/>
        <v>5.39</v>
      </c>
      <c r="AA19" s="27">
        <f t="shared" si="12"/>
        <v>5.28</v>
      </c>
      <c r="AB19" s="27">
        <f t="shared" si="12"/>
        <v>5.3</v>
      </c>
      <c r="AC19" s="27">
        <f t="shared" si="12"/>
        <v>5.24</v>
      </c>
      <c r="AD19" s="27">
        <f t="shared" si="12"/>
        <v>5.26</v>
      </c>
      <c r="AE19" s="27">
        <f t="shared" si="12"/>
        <v>5.29</v>
      </c>
      <c r="AF19" s="27">
        <f t="shared" si="12"/>
        <v>5.32</v>
      </c>
      <c r="AG19" s="27">
        <f t="shared" si="12"/>
        <v>0</v>
      </c>
      <c r="AH19" s="27">
        <f t="shared" si="12"/>
        <v>0</v>
      </c>
      <c r="AI19" s="27"/>
      <c r="AJ19" s="14"/>
    </row>
    <row r="20" spans="1:253" x14ac:dyDescent="0.3">
      <c r="A20" s="12"/>
      <c r="B20" s="26" t="s">
        <v>92</v>
      </c>
      <c r="C20" s="257" t="s">
        <v>83</v>
      </c>
      <c r="D20" s="257" t="s">
        <v>88</v>
      </c>
      <c r="E20" s="25">
        <f t="shared" ref="E20:AH20" si="13">(E17+E18)/E19*1000</f>
        <v>218387.33705772812</v>
      </c>
      <c r="F20" s="25">
        <f t="shared" si="13"/>
        <v>234047.61904761902</v>
      </c>
      <c r="G20" s="25">
        <f t="shared" si="13"/>
        <v>229804.87804878049</v>
      </c>
      <c r="H20" s="25">
        <f t="shared" si="13"/>
        <v>195024.39024390245</v>
      </c>
      <c r="I20" s="25">
        <f t="shared" si="13"/>
        <v>0</v>
      </c>
      <c r="J20" s="25">
        <f t="shared" si="13"/>
        <v>0</v>
      </c>
      <c r="K20" s="25">
        <f t="shared" si="13"/>
        <v>0</v>
      </c>
      <c r="L20" s="25">
        <f t="shared" si="13"/>
        <v>238244.31818181818</v>
      </c>
      <c r="M20" s="25">
        <f t="shared" si="13"/>
        <v>245642.58555133082</v>
      </c>
      <c r="N20" s="25">
        <f t="shared" si="13"/>
        <v>243992.45283018865</v>
      </c>
      <c r="O20" s="25">
        <f t="shared" si="13"/>
        <v>217294.77611940296</v>
      </c>
      <c r="P20" s="25">
        <f t="shared" si="13"/>
        <v>205487.22627737222</v>
      </c>
      <c r="Q20" s="25">
        <f t="shared" si="13"/>
        <v>170488.02946593001</v>
      </c>
      <c r="R20" s="25">
        <f t="shared" si="13"/>
        <v>222046.904315197</v>
      </c>
      <c r="S20" s="25">
        <f t="shared" si="13"/>
        <v>209525.64102564103</v>
      </c>
      <c r="T20" s="25">
        <f t="shared" si="13"/>
        <v>195605.94795539032</v>
      </c>
      <c r="U20" s="25">
        <f t="shared" si="13"/>
        <v>182162.7486437613</v>
      </c>
      <c r="V20" s="25">
        <f t="shared" si="13"/>
        <v>219909.43396226416</v>
      </c>
      <c r="W20" s="25">
        <f t="shared" si="13"/>
        <v>216248.59813084113</v>
      </c>
      <c r="X20" s="25">
        <f t="shared" si="13"/>
        <v>226732.83858998149</v>
      </c>
      <c r="Y20" s="25">
        <f t="shared" si="13"/>
        <v>213404.85074626867</v>
      </c>
      <c r="Z20" s="25">
        <f t="shared" si="13"/>
        <v>156903.52504638219</v>
      </c>
      <c r="AA20" s="25">
        <f t="shared" si="13"/>
        <v>208609.84848484848</v>
      </c>
      <c r="AB20" s="25">
        <f t="shared" si="13"/>
        <v>180435.84905660379</v>
      </c>
      <c r="AC20" s="25">
        <f t="shared" si="13"/>
        <v>201101.14503816792</v>
      </c>
      <c r="AD20" s="25">
        <f t="shared" si="13"/>
        <v>218036.12167300383</v>
      </c>
      <c r="AE20" s="25">
        <f t="shared" si="13"/>
        <v>204185.25519848775</v>
      </c>
      <c r="AF20" s="25">
        <f t="shared" si="13"/>
        <v>200894.73684210525</v>
      </c>
      <c r="AG20" s="25" t="e">
        <f t="shared" si="13"/>
        <v>#DIV/0!</v>
      </c>
      <c r="AH20" s="25" t="e">
        <f t="shared" si="13"/>
        <v>#DIV/0!</v>
      </c>
      <c r="AI20" s="25"/>
      <c r="AJ20" s="30">
        <f>SUMIF(E21:AI21,"&gt;7905",E20:AI20)</f>
        <v>4858297.9304470103</v>
      </c>
    </row>
    <row r="21" spans="1:253" x14ac:dyDescent="0.3">
      <c r="A21" s="12"/>
      <c r="B21" s="13" t="s">
        <v>62</v>
      </c>
      <c r="C21" s="257" t="s">
        <v>83</v>
      </c>
      <c r="D21" s="257" t="s">
        <v>84</v>
      </c>
      <c r="E21" s="35">
        <f>E73</f>
        <v>9002</v>
      </c>
      <c r="F21" s="35">
        <f t="shared" ref="F21:AH21" si="14">F73</f>
        <v>9307</v>
      </c>
      <c r="G21" s="35">
        <f t="shared" si="14"/>
        <v>9171</v>
      </c>
      <c r="H21" s="35">
        <f t="shared" si="14"/>
        <v>7545</v>
      </c>
      <c r="I21" s="35">
        <f t="shared" si="14"/>
        <v>0</v>
      </c>
      <c r="J21" s="35">
        <f t="shared" si="14"/>
        <v>0</v>
      </c>
      <c r="K21" s="35">
        <f t="shared" si="14"/>
        <v>6137</v>
      </c>
      <c r="L21" s="35">
        <f t="shared" si="14"/>
        <v>9002</v>
      </c>
      <c r="M21" s="35">
        <f t="shared" si="14"/>
        <v>9147</v>
      </c>
      <c r="N21" s="35">
        <f t="shared" si="14"/>
        <v>9213</v>
      </c>
      <c r="O21" s="35">
        <f t="shared" si="14"/>
        <v>9205</v>
      </c>
      <c r="P21" s="35">
        <f t="shared" si="14"/>
        <v>9003</v>
      </c>
      <c r="Q21" s="35">
        <f t="shared" si="14"/>
        <v>8245</v>
      </c>
      <c r="R21" s="35">
        <f t="shared" si="14"/>
        <v>9040</v>
      </c>
      <c r="S21" s="35">
        <f t="shared" si="14"/>
        <v>9001</v>
      </c>
      <c r="T21" s="35">
        <f t="shared" si="14"/>
        <v>9029</v>
      </c>
      <c r="U21" s="35">
        <f t="shared" si="14"/>
        <v>8503</v>
      </c>
      <c r="V21" s="35">
        <f t="shared" si="14"/>
        <v>9170</v>
      </c>
      <c r="W21" s="35">
        <f t="shared" si="14"/>
        <v>9005</v>
      </c>
      <c r="X21" s="35">
        <f t="shared" si="14"/>
        <v>9202</v>
      </c>
      <c r="Y21" s="35">
        <f t="shared" si="14"/>
        <v>8854</v>
      </c>
      <c r="Z21" s="35">
        <f t="shared" si="14"/>
        <v>8217</v>
      </c>
      <c r="AA21" s="35">
        <f t="shared" si="14"/>
        <v>9001</v>
      </c>
      <c r="AB21" s="35">
        <f t="shared" si="14"/>
        <v>8024</v>
      </c>
      <c r="AC21" s="35">
        <f t="shared" si="14"/>
        <v>8564</v>
      </c>
      <c r="AD21" s="35">
        <f t="shared" si="14"/>
        <v>9038</v>
      </c>
      <c r="AE21" s="35">
        <f t="shared" si="14"/>
        <v>9045</v>
      </c>
      <c r="AF21" s="35">
        <f t="shared" si="14"/>
        <v>7700</v>
      </c>
      <c r="AG21" s="35">
        <f t="shared" si="14"/>
        <v>0</v>
      </c>
      <c r="AH21" s="35">
        <f t="shared" si="14"/>
        <v>0</v>
      </c>
      <c r="AI21" s="35"/>
      <c r="AJ21" s="32">
        <f>SUM(E21:AI21)</f>
        <v>226370</v>
      </c>
      <c r="AK21" s="15">
        <f>AJ21+'[1]April-24'!AI21+'[1]May-24'!AJ21</f>
        <v>740421</v>
      </c>
    </row>
    <row r="22" spans="1:253" s="20" customFormat="1" x14ac:dyDescent="0.3">
      <c r="A22" s="256">
        <v>5</v>
      </c>
      <c r="B22" s="16" t="s">
        <v>93</v>
      </c>
      <c r="C22" s="191" t="s">
        <v>83</v>
      </c>
      <c r="D22" s="191" t="s">
        <v>44</v>
      </c>
      <c r="E22" s="33">
        <f>E20/E21</f>
        <v>24.259868591171752</v>
      </c>
      <c r="F22" s="33">
        <f>F20/F21</f>
        <v>25.147482437694105</v>
      </c>
      <c r="G22" s="33">
        <f>G20/G21</f>
        <v>25.057777565018046</v>
      </c>
      <c r="H22" s="33">
        <f t="shared" ref="H22:AH22" si="15">H20/H21</f>
        <v>25.848163054195155</v>
      </c>
      <c r="I22" s="33" t="e">
        <f t="shared" si="15"/>
        <v>#DIV/0!</v>
      </c>
      <c r="J22" s="33" t="e">
        <f t="shared" si="15"/>
        <v>#DIV/0!</v>
      </c>
      <c r="K22" s="33">
        <f t="shared" si="15"/>
        <v>0</v>
      </c>
      <c r="L22" s="33">
        <f t="shared" si="15"/>
        <v>26.465709640281958</v>
      </c>
      <c r="M22" s="36">
        <f t="shared" si="15"/>
        <v>26.854989127728306</v>
      </c>
      <c r="N22" s="33">
        <f t="shared" si="15"/>
        <v>26.48349645394428</v>
      </c>
      <c r="O22" s="33">
        <f t="shared" si="15"/>
        <v>23.606167965171423</v>
      </c>
      <c r="P22" s="33">
        <f t="shared" si="15"/>
        <v>22.824305928842854</v>
      </c>
      <c r="Q22" s="33">
        <f t="shared" si="15"/>
        <v>20.677747661119469</v>
      </c>
      <c r="R22" s="33">
        <f t="shared" si="15"/>
        <v>24.562710654335952</v>
      </c>
      <c r="S22" s="33">
        <f t="shared" si="15"/>
        <v>23.278040331701035</v>
      </c>
      <c r="T22" s="33">
        <f t="shared" si="15"/>
        <v>21.664187391227191</v>
      </c>
      <c r="U22" s="33">
        <f t="shared" si="15"/>
        <v>21.423350422646276</v>
      </c>
      <c r="V22" s="33">
        <f t="shared" si="15"/>
        <v>23.981399559679843</v>
      </c>
      <c r="W22" s="33">
        <f t="shared" si="15"/>
        <v>24.014280747455985</v>
      </c>
      <c r="X22" s="33">
        <f t="shared" si="15"/>
        <v>24.639517342966908</v>
      </c>
      <c r="Y22" s="33">
        <f t="shared" si="15"/>
        <v>24.102648604728785</v>
      </c>
      <c r="Z22" s="33">
        <f t="shared" si="15"/>
        <v>19.094989052742143</v>
      </c>
      <c r="AA22" s="33">
        <f>AA20/AA21</f>
        <v>23.176296909770969</v>
      </c>
      <c r="AB22" s="33">
        <f t="shared" si="15"/>
        <v>22.487020071859895</v>
      </c>
      <c r="AC22" s="33">
        <f t="shared" si="15"/>
        <v>23.482151452378318</v>
      </c>
      <c r="AD22" s="33">
        <f t="shared" si="15"/>
        <v>24.124377259681768</v>
      </c>
      <c r="AE22" s="33">
        <f t="shared" si="15"/>
        <v>22.574378684188805</v>
      </c>
      <c r="AF22" s="33">
        <f t="shared" si="15"/>
        <v>26.090225563909772</v>
      </c>
      <c r="AG22" s="33" t="e">
        <f t="shared" si="15"/>
        <v>#DIV/0!</v>
      </c>
      <c r="AH22" s="33" t="e">
        <f t="shared" si="15"/>
        <v>#DIV/0!</v>
      </c>
      <c r="AI22" s="33"/>
      <c r="AJ22" s="37">
        <f>AJ20/AJ21</f>
        <v>21.461756992742018</v>
      </c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</row>
    <row r="23" spans="1:253" s="20" customFormat="1" x14ac:dyDescent="0.3">
      <c r="A23" s="256"/>
      <c r="B23" s="16" t="s">
        <v>94</v>
      </c>
      <c r="C23" s="191" t="s">
        <v>83</v>
      </c>
      <c r="D23" s="191" t="s">
        <v>88</v>
      </c>
      <c r="E23" s="33">
        <v>424430</v>
      </c>
      <c r="F23" s="33">
        <v>443920</v>
      </c>
      <c r="G23" s="33">
        <v>400330</v>
      </c>
      <c r="H23" s="33">
        <v>404410</v>
      </c>
      <c r="I23" s="33">
        <v>204590</v>
      </c>
      <c r="J23" s="33">
        <v>191480</v>
      </c>
      <c r="K23" s="33">
        <v>185940</v>
      </c>
      <c r="L23" s="33">
        <v>444040</v>
      </c>
      <c r="M23" s="36">
        <v>452230</v>
      </c>
      <c r="N23" s="33">
        <v>437010</v>
      </c>
      <c r="O23" s="33">
        <v>406820</v>
      </c>
      <c r="P23" s="33">
        <v>398400</v>
      </c>
      <c r="Q23" s="33">
        <v>365160</v>
      </c>
      <c r="R23" s="33">
        <v>429870</v>
      </c>
      <c r="S23" s="33">
        <v>399900</v>
      </c>
      <c r="T23" s="33">
        <v>392030</v>
      </c>
      <c r="U23" s="33">
        <v>375350</v>
      </c>
      <c r="V23" s="33">
        <v>433110</v>
      </c>
      <c r="W23" s="33">
        <v>426230</v>
      </c>
      <c r="X23" s="33">
        <v>430650</v>
      </c>
      <c r="Y23" s="33">
        <v>410690</v>
      </c>
      <c r="Z23" s="33">
        <v>376130</v>
      </c>
      <c r="AA23" s="33">
        <v>425780</v>
      </c>
      <c r="AB23" s="33">
        <v>401060</v>
      </c>
      <c r="AC23" s="33">
        <v>421810</v>
      </c>
      <c r="AD23" s="33">
        <v>445400</v>
      </c>
      <c r="AE23" s="33">
        <v>428230</v>
      </c>
      <c r="AF23" s="33">
        <v>417060</v>
      </c>
      <c r="AG23" s="33"/>
      <c r="AH23" s="33"/>
      <c r="AI23" s="33"/>
      <c r="AJ23" s="30">
        <f>SUM(E23:AI23)</f>
        <v>10972060</v>
      </c>
      <c r="AK23" s="15">
        <f>AJ23+'[1]April-24'!AI23+'[1]May-24'!AJ23</f>
        <v>36257530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</row>
    <row r="24" spans="1:253" s="20" customFormat="1" x14ac:dyDescent="0.3">
      <c r="A24" s="256">
        <v>6</v>
      </c>
      <c r="B24" s="16" t="s">
        <v>95</v>
      </c>
      <c r="C24" s="191" t="s">
        <v>83</v>
      </c>
      <c r="D24" s="191" t="s">
        <v>44</v>
      </c>
      <c r="E24" s="33">
        <f t="shared" ref="E24:AH24" si="16">E23/(E72+E73)</f>
        <v>26.096286276438761</v>
      </c>
      <c r="F24" s="33">
        <f t="shared" si="16"/>
        <v>26.922190551276607</v>
      </c>
      <c r="G24" s="33">
        <f t="shared" si="16"/>
        <v>25.391982747684892</v>
      </c>
      <c r="H24" s="33">
        <f t="shared" si="16"/>
        <v>27.227496128728202</v>
      </c>
      <c r="I24" s="33">
        <f t="shared" si="16"/>
        <v>27.801331702676993</v>
      </c>
      <c r="J24" s="33">
        <f t="shared" si="16"/>
        <v>26.179928903472792</v>
      </c>
      <c r="K24" s="33">
        <f t="shared" si="16"/>
        <v>13.786609327500557</v>
      </c>
      <c r="L24" s="33">
        <f t="shared" si="16"/>
        <v>27.261787819253438</v>
      </c>
      <c r="M24" s="36">
        <f t="shared" si="16"/>
        <v>27.63059815482373</v>
      </c>
      <c r="N24" s="33">
        <f t="shared" si="16"/>
        <v>26.72680569995719</v>
      </c>
      <c r="O24" s="33">
        <f t="shared" si="16"/>
        <v>24.813662702043306</v>
      </c>
      <c r="P24" s="33">
        <f t="shared" si="16"/>
        <v>24.691664084288814</v>
      </c>
      <c r="Q24" s="33">
        <f t="shared" si="16"/>
        <v>23.7270955165692</v>
      </c>
      <c r="R24" s="33">
        <f t="shared" si="16"/>
        <v>26.776504297994268</v>
      </c>
      <c r="S24" s="33">
        <f t="shared" si="16"/>
        <v>24.989064550396801</v>
      </c>
      <c r="T24" s="33">
        <f t="shared" si="16"/>
        <v>24.214329833230391</v>
      </c>
      <c r="U24" s="33">
        <f t="shared" si="16"/>
        <v>24.209881320949432</v>
      </c>
      <c r="V24" s="33">
        <f t="shared" si="16"/>
        <v>26.541855619561222</v>
      </c>
      <c r="W24" s="33">
        <f t="shared" si="16"/>
        <v>26.58288636647125</v>
      </c>
      <c r="X24" s="33">
        <f t="shared" si="16"/>
        <v>26.436464088397791</v>
      </c>
      <c r="Y24" s="33">
        <f t="shared" si="16"/>
        <v>25.901236125126136</v>
      </c>
      <c r="Z24" s="33">
        <f t="shared" si="16"/>
        <v>24.451017356822465</v>
      </c>
      <c r="AA24" s="33">
        <f t="shared" si="16"/>
        <v>26.234134319162045</v>
      </c>
      <c r="AB24" s="33">
        <f t="shared" si="16"/>
        <v>26.597254459844816</v>
      </c>
      <c r="AC24" s="33">
        <f t="shared" si="16"/>
        <v>27.021780909673286</v>
      </c>
      <c r="AD24" s="33">
        <f t="shared" si="16"/>
        <v>27.390689379496955</v>
      </c>
      <c r="AE24" s="33">
        <f t="shared" si="16"/>
        <v>26.209070322541159</v>
      </c>
      <c r="AF24" s="33">
        <f t="shared" si="16"/>
        <v>28.052734243626823</v>
      </c>
      <c r="AG24" s="33" t="e">
        <f t="shared" si="16"/>
        <v>#DIV/0!</v>
      </c>
      <c r="AH24" s="33" t="e">
        <f t="shared" si="16"/>
        <v>#DIV/0!</v>
      </c>
      <c r="AI24" s="33"/>
      <c r="AJ24" s="34">
        <f>AJ23/(AJ15+AJ21)</f>
        <v>25.727262495427645</v>
      </c>
      <c r="AK24" s="34">
        <f>AK23/(AK15+AK21)</f>
        <v>26.46567877119643</v>
      </c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</row>
    <row r="25" spans="1:253" x14ac:dyDescent="0.3">
      <c r="A25" s="12"/>
      <c r="B25" s="13" t="s">
        <v>96</v>
      </c>
      <c r="C25" s="257" t="s">
        <v>97</v>
      </c>
      <c r="D25" s="257" t="s">
        <v>98</v>
      </c>
      <c r="E25" s="38"/>
      <c r="F25" s="38"/>
      <c r="G25" s="38"/>
      <c r="H25" s="38"/>
      <c r="I25" s="38"/>
      <c r="J25" s="38"/>
      <c r="K25" s="38"/>
      <c r="L25" s="38"/>
      <c r="M25" s="39"/>
      <c r="N25" s="40"/>
      <c r="O25" s="40"/>
      <c r="P25" s="40"/>
      <c r="Q25" s="39"/>
      <c r="R25" s="40"/>
      <c r="S25" s="40"/>
      <c r="T25" s="40"/>
      <c r="U25" s="40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8"/>
    </row>
    <row r="26" spans="1:253" x14ac:dyDescent="0.3">
      <c r="A26" s="12"/>
      <c r="B26" s="13" t="s">
        <v>99</v>
      </c>
      <c r="C26" s="257" t="s">
        <v>97</v>
      </c>
      <c r="D26" s="257" t="s">
        <v>98</v>
      </c>
      <c r="E26" s="38"/>
      <c r="F26" s="38"/>
      <c r="G26" s="38"/>
      <c r="H26" s="38"/>
      <c r="I26" s="38"/>
      <c r="J26" s="38"/>
      <c r="K26" s="38"/>
      <c r="L26" s="38"/>
      <c r="M26" s="39"/>
      <c r="N26" s="40"/>
      <c r="O26" s="40"/>
      <c r="P26" s="40"/>
      <c r="Q26" s="39"/>
      <c r="R26" s="40"/>
      <c r="S26" s="40"/>
      <c r="T26" s="40"/>
      <c r="U26" s="40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8"/>
    </row>
    <row r="27" spans="1:253" s="20" customFormat="1" x14ac:dyDescent="0.3">
      <c r="A27" s="256">
        <v>7</v>
      </c>
      <c r="B27" s="16" t="s">
        <v>100</v>
      </c>
      <c r="C27" s="191" t="s">
        <v>97</v>
      </c>
      <c r="D27" s="191" t="s">
        <v>101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30" t="e">
        <f>(AVERAGE(E27:AI27)*31)/1000</f>
        <v>#DIV/0!</v>
      </c>
      <c r="AK27" s="15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</row>
    <row r="28" spans="1:253" x14ac:dyDescent="0.3">
      <c r="A28" s="26"/>
      <c r="B28" s="13" t="s">
        <v>13</v>
      </c>
      <c r="C28" s="257" t="s">
        <v>102</v>
      </c>
      <c r="D28" s="257" t="s">
        <v>74</v>
      </c>
      <c r="E28" s="257">
        <v>70</v>
      </c>
      <c r="F28" s="257">
        <v>56</v>
      </c>
      <c r="G28" s="257">
        <v>65</v>
      </c>
      <c r="H28" s="257">
        <v>51</v>
      </c>
      <c r="I28" s="257">
        <v>49</v>
      </c>
      <c r="J28" s="257">
        <v>70</v>
      </c>
      <c r="K28" s="257">
        <v>79</v>
      </c>
      <c r="L28" s="257">
        <v>86</v>
      </c>
      <c r="M28" s="257">
        <v>79</v>
      </c>
      <c r="N28" s="257">
        <v>66</v>
      </c>
      <c r="O28" s="257">
        <v>65</v>
      </c>
      <c r="P28" s="257">
        <v>75</v>
      </c>
      <c r="Q28" s="257">
        <v>80</v>
      </c>
      <c r="R28" s="257">
        <v>92</v>
      </c>
      <c r="S28" s="257">
        <v>57</v>
      </c>
      <c r="T28" s="257">
        <v>68</v>
      </c>
      <c r="U28" s="257">
        <v>87</v>
      </c>
      <c r="V28" s="257">
        <v>79</v>
      </c>
      <c r="W28" s="257">
        <v>74</v>
      </c>
      <c r="X28" s="257">
        <v>66</v>
      </c>
      <c r="Y28" s="257">
        <v>84</v>
      </c>
      <c r="Z28" s="257">
        <v>92</v>
      </c>
      <c r="AA28" s="257">
        <v>63</v>
      </c>
      <c r="AB28" s="257">
        <v>105</v>
      </c>
      <c r="AC28" s="257">
        <v>75</v>
      </c>
      <c r="AD28" s="257">
        <v>51</v>
      </c>
      <c r="AE28" s="257">
        <v>75</v>
      </c>
      <c r="AF28" s="257">
        <v>67</v>
      </c>
      <c r="AG28" s="257"/>
      <c r="AH28" s="257"/>
      <c r="AI28" s="257"/>
      <c r="AJ28" s="30">
        <f t="shared" ref="AJ28:AJ33" si="17">SUM(E28:AI28)</f>
        <v>2026</v>
      </c>
      <c r="AK28" s="15">
        <f>AJ28+'[1]April-24'!AI28+'[1]May-24'!AJ28</f>
        <v>4605</v>
      </c>
      <c r="AL28" s="328">
        <f>AJ28/$AJ$87</f>
        <v>3.8650255251932511E-3</v>
      </c>
    </row>
    <row r="29" spans="1:253" x14ac:dyDescent="0.3">
      <c r="A29" s="26"/>
      <c r="B29" s="13" t="s">
        <v>279</v>
      </c>
      <c r="C29" s="257" t="s">
        <v>102</v>
      </c>
      <c r="D29" s="257" t="s">
        <v>74</v>
      </c>
      <c r="E29" s="257">
        <v>35</v>
      </c>
      <c r="F29" s="257">
        <v>28</v>
      </c>
      <c r="G29" s="257">
        <v>33</v>
      </c>
      <c r="H29" s="257">
        <v>26</v>
      </c>
      <c r="I29" s="257">
        <v>25</v>
      </c>
      <c r="J29" s="257">
        <v>35</v>
      </c>
      <c r="K29" s="257">
        <v>40</v>
      </c>
      <c r="L29" s="257">
        <v>47</v>
      </c>
      <c r="M29" s="257">
        <v>40</v>
      </c>
      <c r="N29" s="257">
        <v>50</v>
      </c>
      <c r="O29" s="257">
        <f>69+26</f>
        <v>95</v>
      </c>
      <c r="P29" s="257">
        <f>42+65</f>
        <v>107</v>
      </c>
      <c r="Q29" s="257">
        <f>71+17</f>
        <v>88</v>
      </c>
      <c r="R29" s="257">
        <v>69</v>
      </c>
      <c r="S29" s="257">
        <f>57+46</f>
        <v>103</v>
      </c>
      <c r="T29" s="257">
        <f>36+68</f>
        <v>104</v>
      </c>
      <c r="U29" s="257">
        <f>74+36</f>
        <v>110</v>
      </c>
      <c r="V29" s="257">
        <f>40+69</f>
        <v>109</v>
      </c>
      <c r="W29" s="257">
        <f>56+32</f>
        <v>88</v>
      </c>
      <c r="X29" s="257">
        <f>39+64</f>
        <v>103</v>
      </c>
      <c r="Y29" s="257">
        <f>70+42</f>
        <v>112</v>
      </c>
      <c r="Z29" s="257">
        <f>69+30</f>
        <v>99</v>
      </c>
      <c r="AA29" s="257">
        <f>67+32</f>
        <v>99</v>
      </c>
      <c r="AB29" s="257">
        <f>34+79</f>
        <v>113</v>
      </c>
      <c r="AC29" s="257">
        <f>6+23+56+14</f>
        <v>99</v>
      </c>
      <c r="AD29" s="257">
        <f>14+9+50</f>
        <v>73</v>
      </c>
      <c r="AE29" s="257">
        <f>24+67</f>
        <v>91</v>
      </c>
      <c r="AF29" s="257">
        <f>34+69</f>
        <v>103</v>
      </c>
      <c r="AG29" s="257"/>
      <c r="AH29" s="257"/>
      <c r="AI29" s="257"/>
      <c r="AJ29" s="30">
        <f t="shared" si="17"/>
        <v>2124</v>
      </c>
      <c r="AK29" s="15">
        <f>AJ29</f>
        <v>2124</v>
      </c>
      <c r="AL29" s="328">
        <f t="shared" ref="AL29:AL33" si="18">AJ29/$AJ$87</f>
        <v>4.0519813502025992E-3</v>
      </c>
    </row>
    <row r="30" spans="1:253" x14ac:dyDescent="0.3">
      <c r="A30" s="26"/>
      <c r="B30" s="13" t="s">
        <v>103</v>
      </c>
      <c r="C30" s="257" t="s">
        <v>102</v>
      </c>
      <c r="D30" s="257" t="s">
        <v>74</v>
      </c>
      <c r="E30" s="257">
        <v>35</v>
      </c>
      <c r="F30" s="257">
        <v>67</v>
      </c>
      <c r="G30" s="257">
        <v>77</v>
      </c>
      <c r="H30" s="257">
        <v>0</v>
      </c>
      <c r="I30" s="257">
        <v>63</v>
      </c>
      <c r="J30" s="257">
        <v>0</v>
      </c>
      <c r="K30" s="257">
        <v>42</v>
      </c>
      <c r="L30" s="257">
        <v>0</v>
      </c>
      <c r="M30" s="257">
        <v>46</v>
      </c>
      <c r="N30" s="257">
        <v>52</v>
      </c>
      <c r="O30" s="257">
        <v>17</v>
      </c>
      <c r="P30" s="257">
        <v>0</v>
      </c>
      <c r="Q30" s="257">
        <v>0</v>
      </c>
      <c r="R30" s="257">
        <v>23</v>
      </c>
      <c r="S30" s="257">
        <v>40</v>
      </c>
      <c r="T30" s="24">
        <v>45</v>
      </c>
      <c r="U30" s="257">
        <v>0</v>
      </c>
      <c r="V30" s="257">
        <v>63</v>
      </c>
      <c r="W30" s="257">
        <v>0</v>
      </c>
      <c r="X30" s="257">
        <v>0</v>
      </c>
      <c r="Y30" s="257">
        <v>62</v>
      </c>
      <c r="Z30" s="257">
        <v>0</v>
      </c>
      <c r="AA30" s="257">
        <v>0</v>
      </c>
      <c r="AB30" s="257">
        <v>0</v>
      </c>
      <c r="AC30" s="257">
        <f>43-23</f>
        <v>20</v>
      </c>
      <c r="AD30" s="257">
        <v>54</v>
      </c>
      <c r="AE30" s="257">
        <v>37</v>
      </c>
      <c r="AF30" s="257">
        <v>20</v>
      </c>
      <c r="AG30" s="257"/>
      <c r="AH30" s="257"/>
      <c r="AI30" s="257"/>
      <c r="AJ30" s="30">
        <f t="shared" si="17"/>
        <v>763</v>
      </c>
      <c r="AK30" s="15">
        <f>AJ30+'[1]April-24'!AI29+'[1]May-24'!AJ29</f>
        <v>3175</v>
      </c>
      <c r="AL30" s="328">
        <f t="shared" si="18"/>
        <v>1.4555846375727793E-3</v>
      </c>
    </row>
    <row r="31" spans="1:253" x14ac:dyDescent="0.3">
      <c r="A31" s="26"/>
      <c r="B31" s="13" t="s">
        <v>104</v>
      </c>
      <c r="C31" s="257" t="s">
        <v>102</v>
      </c>
      <c r="D31" s="257" t="s">
        <v>74</v>
      </c>
      <c r="E31" s="257">
        <v>88</v>
      </c>
      <c r="F31" s="257">
        <v>98</v>
      </c>
      <c r="G31" s="257">
        <v>0</v>
      </c>
      <c r="H31" s="257">
        <v>0</v>
      </c>
      <c r="I31" s="257">
        <v>22</v>
      </c>
      <c r="J31" s="257">
        <v>60</v>
      </c>
      <c r="K31" s="257">
        <v>37</v>
      </c>
      <c r="L31" s="257">
        <v>37</v>
      </c>
      <c r="M31" s="257">
        <v>56</v>
      </c>
      <c r="N31" s="257">
        <v>73</v>
      </c>
      <c r="O31" s="257">
        <v>63</v>
      </c>
      <c r="P31" s="257">
        <v>48</v>
      </c>
      <c r="Q31" s="257">
        <v>59</v>
      </c>
      <c r="R31" s="257">
        <v>0</v>
      </c>
      <c r="S31" s="257">
        <v>81</v>
      </c>
      <c r="T31" s="24">
        <v>96</v>
      </c>
      <c r="U31" s="257">
        <v>53</v>
      </c>
      <c r="V31" s="257">
        <v>57</v>
      </c>
      <c r="W31" s="257">
        <v>0</v>
      </c>
      <c r="X31" s="257">
        <v>102</v>
      </c>
      <c r="Y31" s="257">
        <v>45</v>
      </c>
      <c r="Z31" s="257">
        <v>0</v>
      </c>
      <c r="AA31" s="257">
        <v>135</v>
      </c>
      <c r="AB31" s="257">
        <v>0</v>
      </c>
      <c r="AC31" s="257">
        <f>91-14</f>
        <v>77</v>
      </c>
      <c r="AD31" s="257">
        <v>66</v>
      </c>
      <c r="AE31" s="257">
        <v>59</v>
      </c>
      <c r="AF31" s="257">
        <v>106</v>
      </c>
      <c r="AG31" s="257"/>
      <c r="AH31" s="257"/>
      <c r="AI31" s="257"/>
      <c r="AJ31" s="30">
        <f t="shared" si="17"/>
        <v>1518</v>
      </c>
      <c r="AK31" s="15">
        <f>AJ31+'[1]April-24'!AI30+'[1]May-24'!AJ30</f>
        <v>4374</v>
      </c>
      <c r="AL31" s="328">
        <f t="shared" si="18"/>
        <v>2.8959075751447956E-3</v>
      </c>
    </row>
    <row r="32" spans="1:253" ht="15" thickBot="1" x14ac:dyDescent="0.35">
      <c r="A32" s="26"/>
      <c r="B32" s="13" t="s">
        <v>105</v>
      </c>
      <c r="C32" s="257" t="s">
        <v>102</v>
      </c>
      <c r="D32" s="257" t="s">
        <v>74</v>
      </c>
      <c r="E32" s="42">
        <f t="shared" ref="E32:AH33" si="19">E118+E120</f>
        <v>345</v>
      </c>
      <c r="F32" s="42">
        <f t="shared" si="19"/>
        <v>278</v>
      </c>
      <c r="G32" s="42">
        <f>G118+G120</f>
        <v>350</v>
      </c>
      <c r="H32" s="42">
        <f>H118+H120</f>
        <v>469</v>
      </c>
      <c r="I32" s="42">
        <f t="shared" si="19"/>
        <v>280</v>
      </c>
      <c r="J32" s="42">
        <f t="shared" si="19"/>
        <v>471</v>
      </c>
      <c r="K32" s="42">
        <f t="shared" si="19"/>
        <v>441</v>
      </c>
      <c r="L32" s="42">
        <f t="shared" si="19"/>
        <v>582</v>
      </c>
      <c r="M32" s="42">
        <f t="shared" si="19"/>
        <v>374</v>
      </c>
      <c r="N32" s="42">
        <f t="shared" si="19"/>
        <v>377</v>
      </c>
      <c r="O32" s="42">
        <f t="shared" si="19"/>
        <v>408</v>
      </c>
      <c r="P32" s="42">
        <f t="shared" si="19"/>
        <v>485</v>
      </c>
      <c r="Q32" s="42">
        <f t="shared" si="19"/>
        <v>352</v>
      </c>
      <c r="R32" s="42">
        <f>R118+R120</f>
        <v>484</v>
      </c>
      <c r="S32" s="42">
        <f t="shared" si="19"/>
        <v>406</v>
      </c>
      <c r="T32" s="42">
        <f t="shared" si="19"/>
        <v>383</v>
      </c>
      <c r="U32" s="42">
        <f t="shared" si="19"/>
        <v>486</v>
      </c>
      <c r="V32" s="42">
        <f t="shared" si="19"/>
        <v>418</v>
      </c>
      <c r="W32" s="42">
        <f t="shared" si="19"/>
        <v>424</v>
      </c>
      <c r="X32" s="42">
        <f t="shared" si="19"/>
        <v>419</v>
      </c>
      <c r="Y32" s="42">
        <f t="shared" si="19"/>
        <v>456</v>
      </c>
      <c r="Z32" s="42">
        <f t="shared" si="19"/>
        <v>472</v>
      </c>
      <c r="AA32" s="42">
        <f t="shared" si="19"/>
        <v>179</v>
      </c>
      <c r="AB32" s="42">
        <f t="shared" si="19"/>
        <v>531</v>
      </c>
      <c r="AC32" s="42">
        <f t="shared" si="19"/>
        <v>380</v>
      </c>
      <c r="AD32" s="42">
        <f t="shared" si="19"/>
        <v>245</v>
      </c>
      <c r="AE32" s="42">
        <f t="shared" si="19"/>
        <v>346</v>
      </c>
      <c r="AF32" s="42">
        <f t="shared" si="19"/>
        <v>388</v>
      </c>
      <c r="AG32" s="42">
        <f t="shared" si="19"/>
        <v>0</v>
      </c>
      <c r="AH32" s="42">
        <f t="shared" si="19"/>
        <v>0</v>
      </c>
      <c r="AI32" s="42"/>
      <c r="AJ32" s="30">
        <f t="shared" si="17"/>
        <v>11229</v>
      </c>
      <c r="AK32" s="15">
        <f>AJ32+'[1]April-24'!AI31+'[1]May-24'!AJ31</f>
        <v>32419</v>
      </c>
      <c r="AL32" s="328">
        <f t="shared" si="18"/>
        <v>2.1421703663571084E-2</v>
      </c>
    </row>
    <row r="33" spans="1:253" ht="15" thickBot="1" x14ac:dyDescent="0.35">
      <c r="A33" s="26"/>
      <c r="B33" s="13" t="s">
        <v>106</v>
      </c>
      <c r="C33" s="257" t="s">
        <v>102</v>
      </c>
      <c r="D33" s="257" t="s">
        <v>74</v>
      </c>
      <c r="E33" s="257">
        <f t="shared" si="19"/>
        <v>273</v>
      </c>
      <c r="F33" s="257">
        <f t="shared" si="19"/>
        <v>219</v>
      </c>
      <c r="G33" s="257">
        <f t="shared" si="19"/>
        <v>198</v>
      </c>
      <c r="H33" s="257">
        <f t="shared" si="19"/>
        <v>291</v>
      </c>
      <c r="I33" s="257">
        <f t="shared" si="19"/>
        <v>201</v>
      </c>
      <c r="J33" s="257">
        <f t="shared" si="19"/>
        <v>328</v>
      </c>
      <c r="K33" s="257">
        <f t="shared" si="19"/>
        <v>339</v>
      </c>
      <c r="L33" s="257">
        <f t="shared" si="19"/>
        <v>390</v>
      </c>
      <c r="M33" s="257">
        <f t="shared" si="19"/>
        <v>298</v>
      </c>
      <c r="N33" s="257">
        <f t="shared" si="19"/>
        <v>287</v>
      </c>
      <c r="O33" s="257">
        <f t="shared" si="19"/>
        <v>323</v>
      </c>
      <c r="P33" s="257">
        <f t="shared" si="19"/>
        <v>339</v>
      </c>
      <c r="Q33" s="257">
        <f t="shared" si="19"/>
        <v>282</v>
      </c>
      <c r="R33" s="257">
        <f t="shared" si="19"/>
        <v>359</v>
      </c>
      <c r="S33" s="257">
        <f t="shared" si="19"/>
        <v>304</v>
      </c>
      <c r="T33" s="257">
        <f t="shared" si="19"/>
        <v>294</v>
      </c>
      <c r="U33" s="257">
        <f t="shared" si="19"/>
        <v>351</v>
      </c>
      <c r="V33" s="257">
        <f t="shared" si="19"/>
        <v>278</v>
      </c>
      <c r="W33" s="257">
        <f t="shared" si="19"/>
        <v>326</v>
      </c>
      <c r="X33" s="257">
        <f t="shared" si="19"/>
        <v>305</v>
      </c>
      <c r="Y33" s="257">
        <f t="shared" si="19"/>
        <v>334</v>
      </c>
      <c r="Z33" s="257">
        <f t="shared" si="19"/>
        <v>338</v>
      </c>
      <c r="AA33" s="257">
        <f t="shared" si="19"/>
        <v>254</v>
      </c>
      <c r="AB33" s="257">
        <f t="shared" si="19"/>
        <v>408</v>
      </c>
      <c r="AC33" s="257">
        <f t="shared" si="19"/>
        <v>295</v>
      </c>
      <c r="AD33" s="257">
        <f t="shared" si="19"/>
        <v>168</v>
      </c>
      <c r="AE33" s="257">
        <f t="shared" si="19"/>
        <v>274</v>
      </c>
      <c r="AF33" s="257">
        <f t="shared" si="19"/>
        <v>266</v>
      </c>
      <c r="AG33" s="257">
        <f t="shared" si="19"/>
        <v>0</v>
      </c>
      <c r="AH33" s="257">
        <f t="shared" si="19"/>
        <v>0</v>
      </c>
      <c r="AI33" s="257"/>
      <c r="AJ33" s="30">
        <f t="shared" si="17"/>
        <v>8322</v>
      </c>
      <c r="AK33" s="15">
        <f>AJ33+'[1]April-24'!AI32+'[1]May-24'!AJ32</f>
        <v>21537</v>
      </c>
      <c r="AL33" s="328">
        <f t="shared" si="18"/>
        <v>1.5875983425793799E-2</v>
      </c>
      <c r="AM33" s="363">
        <f>AL33+AL32</f>
        <v>3.7297687089364887E-2</v>
      </c>
    </row>
    <row r="34" spans="1:253" x14ac:dyDescent="0.3">
      <c r="A34" s="26"/>
      <c r="B34" s="13" t="s">
        <v>107</v>
      </c>
      <c r="C34" s="257" t="s">
        <v>102</v>
      </c>
      <c r="D34" s="257" t="s">
        <v>74</v>
      </c>
      <c r="E34" s="43">
        <f>SUM(E28:E33)</f>
        <v>846</v>
      </c>
      <c r="F34" s="43">
        <f>SUM(F28:F33)</f>
        <v>746</v>
      </c>
      <c r="G34" s="43">
        <f t="shared" ref="G34:AH34" si="20">SUM(G28:G33)</f>
        <v>723</v>
      </c>
      <c r="H34" s="43">
        <f>SUM(H28:H33)</f>
        <v>837</v>
      </c>
      <c r="I34" s="43">
        <f t="shared" si="20"/>
        <v>640</v>
      </c>
      <c r="J34" s="43">
        <f t="shared" si="20"/>
        <v>964</v>
      </c>
      <c r="K34" s="43">
        <f t="shared" si="20"/>
        <v>978</v>
      </c>
      <c r="L34" s="43">
        <f t="shared" si="20"/>
        <v>1142</v>
      </c>
      <c r="M34" s="43">
        <f t="shared" si="20"/>
        <v>893</v>
      </c>
      <c r="N34" s="43">
        <f t="shared" si="20"/>
        <v>905</v>
      </c>
      <c r="O34" s="43">
        <f t="shared" si="20"/>
        <v>971</v>
      </c>
      <c r="P34" s="43">
        <f t="shared" si="20"/>
        <v>1054</v>
      </c>
      <c r="Q34" s="43">
        <f t="shared" si="20"/>
        <v>861</v>
      </c>
      <c r="R34" s="43">
        <f>SUM(R28:R33)</f>
        <v>1027</v>
      </c>
      <c r="S34" s="43">
        <f t="shared" si="20"/>
        <v>991</v>
      </c>
      <c r="T34" s="43">
        <f t="shared" si="20"/>
        <v>990</v>
      </c>
      <c r="U34" s="43">
        <f t="shared" si="20"/>
        <v>1087</v>
      </c>
      <c r="V34" s="43">
        <f t="shared" si="20"/>
        <v>1004</v>
      </c>
      <c r="W34" s="43">
        <f t="shared" si="20"/>
        <v>912</v>
      </c>
      <c r="X34" s="43">
        <f t="shared" si="20"/>
        <v>995</v>
      </c>
      <c r="Y34" s="43">
        <f t="shared" si="20"/>
        <v>1093</v>
      </c>
      <c r="Z34" s="43">
        <f t="shared" si="20"/>
        <v>1001</v>
      </c>
      <c r="AA34" s="43">
        <f t="shared" si="20"/>
        <v>730</v>
      </c>
      <c r="AB34" s="43">
        <f t="shared" si="20"/>
        <v>1157</v>
      </c>
      <c r="AC34" s="43">
        <f>SUM(AC28:AC33)</f>
        <v>946</v>
      </c>
      <c r="AD34" s="43">
        <f t="shared" si="20"/>
        <v>657</v>
      </c>
      <c r="AE34" s="43">
        <f t="shared" si="20"/>
        <v>882</v>
      </c>
      <c r="AF34" s="43">
        <f t="shared" si="20"/>
        <v>950</v>
      </c>
      <c r="AG34" s="43">
        <f t="shared" si="20"/>
        <v>0</v>
      </c>
      <c r="AH34" s="43">
        <f t="shared" si="20"/>
        <v>0</v>
      </c>
      <c r="AI34" s="43"/>
      <c r="AJ34" s="30">
        <f>SUM(E34:AI34)</f>
        <v>25982</v>
      </c>
      <c r="AK34" s="15">
        <f>AJ34+'[1]April-24'!AI33+'[1]May-24'!AJ33</f>
        <v>68234</v>
      </c>
    </row>
    <row r="35" spans="1:253" s="20" customFormat="1" x14ac:dyDescent="0.3">
      <c r="A35" s="44">
        <v>8</v>
      </c>
      <c r="B35" s="44" t="s">
        <v>108</v>
      </c>
      <c r="C35" s="191" t="s">
        <v>102</v>
      </c>
      <c r="D35" s="191" t="s">
        <v>109</v>
      </c>
      <c r="E35" s="17">
        <f t="shared" ref="E35:F35" si="21">(E28+E33+E29)/E34</f>
        <v>0.44680851063829785</v>
      </c>
      <c r="F35" s="17">
        <f t="shared" si="21"/>
        <v>0.40616621983914208</v>
      </c>
      <c r="G35" s="17">
        <f>(G28+G33+G29)/G34</f>
        <v>0.40940525587828491</v>
      </c>
      <c r="H35" s="17">
        <f>(H28+H33+H29)/H34</f>
        <v>0.43966547192353644</v>
      </c>
      <c r="I35" s="17">
        <f t="shared" ref="I35:AG35" si="22">(I28+I33+I29)/I34</f>
        <v>0.4296875</v>
      </c>
      <c r="J35" s="17">
        <f t="shared" si="22"/>
        <v>0.44917012448132781</v>
      </c>
      <c r="K35" s="17">
        <f t="shared" si="22"/>
        <v>0.46830265848670755</v>
      </c>
      <c r="L35" s="17">
        <f>(L28+L33+L29)/L34</f>
        <v>0.45796847635726795</v>
      </c>
      <c r="M35" s="17">
        <f t="shared" si="22"/>
        <v>0.46696528555431133</v>
      </c>
      <c r="N35" s="17">
        <f t="shared" si="22"/>
        <v>0.4453038674033149</v>
      </c>
      <c r="O35" s="17">
        <f>(O28+O33+O29)/O34</f>
        <v>0.49742533470648814</v>
      </c>
      <c r="P35" s="17">
        <f t="shared" si="22"/>
        <v>0.49430740037950666</v>
      </c>
      <c r="Q35" s="17">
        <f t="shared" si="22"/>
        <v>0.52264808362369342</v>
      </c>
      <c r="R35" s="17">
        <f t="shared" si="22"/>
        <v>0.50632911392405067</v>
      </c>
      <c r="S35" s="17">
        <f t="shared" si="22"/>
        <v>0.46821392532795159</v>
      </c>
      <c r="T35" s="17">
        <f t="shared" si="22"/>
        <v>0.47070707070707068</v>
      </c>
      <c r="U35" s="17">
        <f t="shared" si="22"/>
        <v>0.50413983440662369</v>
      </c>
      <c r="V35" s="17">
        <f t="shared" si="22"/>
        <v>0.46414342629482069</v>
      </c>
      <c r="W35" s="17">
        <f t="shared" si="22"/>
        <v>0.53508771929824561</v>
      </c>
      <c r="X35" s="17">
        <f t="shared" si="22"/>
        <v>0.47638190954773868</v>
      </c>
      <c r="Y35" s="17">
        <f t="shared" si="22"/>
        <v>0.48490393412625798</v>
      </c>
      <c r="Z35" s="17">
        <f t="shared" si="22"/>
        <v>0.52847152847152845</v>
      </c>
      <c r="AA35" s="17">
        <f t="shared" si="22"/>
        <v>0.56986301369863013</v>
      </c>
      <c r="AB35" s="17">
        <f t="shared" si="22"/>
        <v>0.54105445116681072</v>
      </c>
      <c r="AC35" s="17">
        <f>(AC28+AC33+AC29)/AC34</f>
        <v>0.49577167019027485</v>
      </c>
      <c r="AD35" s="17">
        <f t="shared" si="22"/>
        <v>0.44444444444444442</v>
      </c>
      <c r="AE35" s="17">
        <f t="shared" si="22"/>
        <v>0.49886621315192742</v>
      </c>
      <c r="AF35" s="17">
        <f>(AF28+AF33+AF29)/AF34</f>
        <v>0.4589473684210526</v>
      </c>
      <c r="AG35" s="17" t="e">
        <f t="shared" si="22"/>
        <v>#DIV/0!</v>
      </c>
      <c r="AH35" s="59" t="e">
        <f>(AH28+AH33+AH29)/AH34</f>
        <v>#DIV/0!</v>
      </c>
      <c r="AI35" s="21"/>
      <c r="AJ35" s="17">
        <f>(AJ28+AJ33+AJ29)/AJ34</f>
        <v>0.4800246324378416</v>
      </c>
      <c r="AK35" s="21">
        <f>(AK28+AK33+AK29)/AK34</f>
        <v>0.41425095993199873</v>
      </c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</row>
    <row r="36" spans="1:253" x14ac:dyDescent="0.3">
      <c r="A36" s="26"/>
      <c r="B36" s="26" t="s">
        <v>110</v>
      </c>
      <c r="C36" s="257" t="s">
        <v>102</v>
      </c>
      <c r="D36" s="257" t="s">
        <v>74</v>
      </c>
      <c r="E36" s="45">
        <f t="shared" ref="E36:AH36" si="23">E123+E125</f>
        <v>766</v>
      </c>
      <c r="F36" s="45">
        <f t="shared" si="23"/>
        <v>100</v>
      </c>
      <c r="G36" s="45">
        <f t="shared" si="23"/>
        <v>935</v>
      </c>
      <c r="H36" s="45">
        <f t="shared" si="23"/>
        <v>1050</v>
      </c>
      <c r="I36" s="45">
        <f t="shared" si="23"/>
        <v>513</v>
      </c>
      <c r="J36" s="45">
        <f t="shared" si="23"/>
        <v>650</v>
      </c>
      <c r="K36" s="45">
        <f t="shared" si="23"/>
        <v>1100</v>
      </c>
      <c r="L36" s="45">
        <f t="shared" si="23"/>
        <v>888</v>
      </c>
      <c r="M36" s="45">
        <f t="shared" si="23"/>
        <v>720</v>
      </c>
      <c r="N36" s="45">
        <f t="shared" si="23"/>
        <v>1297</v>
      </c>
      <c r="O36" s="45">
        <f t="shared" si="23"/>
        <v>1090</v>
      </c>
      <c r="P36" s="45">
        <f t="shared" si="23"/>
        <v>930</v>
      </c>
      <c r="Q36" s="45">
        <f t="shared" si="23"/>
        <v>1000</v>
      </c>
      <c r="R36" s="45">
        <f t="shared" si="23"/>
        <v>1120</v>
      </c>
      <c r="S36" s="45">
        <f t="shared" si="23"/>
        <v>1083</v>
      </c>
      <c r="T36" s="45">
        <f t="shared" si="23"/>
        <v>1307</v>
      </c>
      <c r="U36" s="45">
        <f t="shared" si="23"/>
        <v>1150</v>
      </c>
      <c r="V36" s="45">
        <f t="shared" si="23"/>
        <v>1250</v>
      </c>
      <c r="W36" s="45">
        <f t="shared" si="23"/>
        <v>1000</v>
      </c>
      <c r="X36" s="45">
        <f t="shared" si="23"/>
        <v>720</v>
      </c>
      <c r="Y36" s="45">
        <f t="shared" si="23"/>
        <v>850</v>
      </c>
      <c r="Z36" s="45">
        <f>Z123+Z125</f>
        <v>1151</v>
      </c>
      <c r="AA36" s="45">
        <f t="shared" si="23"/>
        <v>650</v>
      </c>
      <c r="AB36" s="45">
        <f t="shared" si="23"/>
        <v>580</v>
      </c>
      <c r="AC36" s="45">
        <f t="shared" si="23"/>
        <v>1000</v>
      </c>
      <c r="AD36" s="45">
        <f t="shared" si="23"/>
        <v>1025</v>
      </c>
      <c r="AE36" s="45">
        <f t="shared" si="23"/>
        <v>1020</v>
      </c>
      <c r="AF36" s="45">
        <f t="shared" si="23"/>
        <v>1490</v>
      </c>
      <c r="AG36" s="45">
        <f t="shared" si="23"/>
        <v>0</v>
      </c>
      <c r="AH36" s="45">
        <f t="shared" si="23"/>
        <v>0</v>
      </c>
      <c r="AI36" s="45"/>
      <c r="AJ36" s="14">
        <f>SUM(E36:AI36)</f>
        <v>26435</v>
      </c>
      <c r="AK36" s="15">
        <f>AJ36+'[1]April-24'!AI35+'[1]May-24'!AJ35</f>
        <v>83097</v>
      </c>
    </row>
    <row r="37" spans="1:253" x14ac:dyDescent="0.3">
      <c r="A37" s="26"/>
      <c r="B37" s="26" t="s">
        <v>111</v>
      </c>
      <c r="C37" s="257" t="s">
        <v>102</v>
      </c>
      <c r="D37" s="257" t="s">
        <v>74</v>
      </c>
      <c r="E37" s="45">
        <f t="shared" ref="E37:AH37" si="24">SUM(E123:E126)</f>
        <v>4632</v>
      </c>
      <c r="F37" s="45">
        <f t="shared" si="24"/>
        <v>3692</v>
      </c>
      <c r="G37" s="45">
        <f t="shared" si="24"/>
        <v>4335</v>
      </c>
      <c r="H37" s="45">
        <f t="shared" si="24"/>
        <v>5443</v>
      </c>
      <c r="I37" s="45">
        <f t="shared" si="24"/>
        <v>3345</v>
      </c>
      <c r="J37" s="45">
        <f t="shared" si="24"/>
        <v>5537</v>
      </c>
      <c r="K37" s="45">
        <f t="shared" si="24"/>
        <v>5751</v>
      </c>
      <c r="L37" s="45">
        <f t="shared" si="24"/>
        <v>6815</v>
      </c>
      <c r="M37" s="45">
        <f t="shared" si="24"/>
        <v>4932</v>
      </c>
      <c r="N37" s="45">
        <f t="shared" si="24"/>
        <v>4938</v>
      </c>
      <c r="O37" s="45">
        <f t="shared" si="24"/>
        <v>5525</v>
      </c>
      <c r="P37" s="45">
        <f t="shared" si="24"/>
        <v>6149</v>
      </c>
      <c r="Q37" s="45">
        <f t="shared" si="24"/>
        <v>4691</v>
      </c>
      <c r="R37" s="45">
        <f t="shared" si="24"/>
        <v>6068</v>
      </c>
      <c r="S37" s="45">
        <f t="shared" si="24"/>
        <v>4841</v>
      </c>
      <c r="T37" s="45">
        <f t="shared" si="24"/>
        <v>4884</v>
      </c>
      <c r="U37" s="45">
        <f t="shared" si="24"/>
        <v>5958</v>
      </c>
      <c r="V37" s="45">
        <f t="shared" si="24"/>
        <v>5293</v>
      </c>
      <c r="W37" s="45">
        <f t="shared" si="24"/>
        <v>5345</v>
      </c>
      <c r="X37" s="45">
        <f t="shared" si="24"/>
        <v>5454</v>
      </c>
      <c r="Y37" s="45">
        <f t="shared" si="24"/>
        <v>5724</v>
      </c>
      <c r="Z37" s="45">
        <f t="shared" si="24"/>
        <v>6160</v>
      </c>
      <c r="AA37" s="45">
        <f t="shared" si="24"/>
        <v>4544</v>
      </c>
      <c r="AB37" s="45">
        <f t="shared" si="24"/>
        <v>6632</v>
      </c>
      <c r="AC37" s="45">
        <f t="shared" si="24"/>
        <v>4827</v>
      </c>
      <c r="AD37" s="45">
        <f t="shared" si="24"/>
        <v>3177</v>
      </c>
      <c r="AE37" s="45">
        <f t="shared" si="24"/>
        <v>4749</v>
      </c>
      <c r="AF37" s="45">
        <f t="shared" si="24"/>
        <v>4934</v>
      </c>
      <c r="AG37" s="45">
        <f t="shared" si="24"/>
        <v>0</v>
      </c>
      <c r="AH37" s="45">
        <f t="shared" si="24"/>
        <v>0</v>
      </c>
      <c r="AI37" s="45"/>
      <c r="AJ37" s="14">
        <f>SUM(E37:AI37)</f>
        <v>144375</v>
      </c>
      <c r="AK37" s="15">
        <f>AJ37+'[1]April-24'!AI36+'[1]May-24'!AJ36</f>
        <v>388685</v>
      </c>
    </row>
    <row r="38" spans="1:253" x14ac:dyDescent="0.3">
      <c r="A38" s="44">
        <v>9</v>
      </c>
      <c r="B38" s="44" t="s">
        <v>112</v>
      </c>
      <c r="C38" s="191" t="s">
        <v>102</v>
      </c>
      <c r="D38" s="191" t="s">
        <v>109</v>
      </c>
      <c r="E38" s="46">
        <f t="shared" ref="E38:AK38" si="25">E36/E37</f>
        <v>0.16537132987910189</v>
      </c>
      <c r="F38" s="46">
        <f t="shared" si="25"/>
        <v>2.7085590465872156E-2</v>
      </c>
      <c r="G38" s="46">
        <f t="shared" si="25"/>
        <v>0.21568627450980393</v>
      </c>
      <c r="H38" s="46">
        <f t="shared" si="25"/>
        <v>0.1929083226162043</v>
      </c>
      <c r="I38" s="46">
        <f t="shared" si="25"/>
        <v>0.15336322869955157</v>
      </c>
      <c r="J38" s="46">
        <f t="shared" si="25"/>
        <v>0.1173920895791945</v>
      </c>
      <c r="K38" s="46">
        <f t="shared" si="25"/>
        <v>0.19127108328986264</v>
      </c>
      <c r="L38" s="46">
        <f t="shared" si="25"/>
        <v>0.13030080704328686</v>
      </c>
      <c r="M38" s="47">
        <f t="shared" si="25"/>
        <v>0.145985401459854</v>
      </c>
      <c r="N38" s="46">
        <f t="shared" si="25"/>
        <v>0.26265694613203727</v>
      </c>
      <c r="O38" s="46">
        <f t="shared" si="25"/>
        <v>0.19728506787330316</v>
      </c>
      <c r="P38" s="46">
        <f t="shared" si="25"/>
        <v>0.15124410473247682</v>
      </c>
      <c r="Q38" s="46">
        <f>Q36/Q37</f>
        <v>0.21317416329140909</v>
      </c>
      <c r="R38" s="46">
        <f t="shared" si="25"/>
        <v>0.18457481872116019</v>
      </c>
      <c r="S38" s="46">
        <f t="shared" si="25"/>
        <v>0.22371410865523653</v>
      </c>
      <c r="T38" s="46">
        <f t="shared" si="25"/>
        <v>0.26760851760851762</v>
      </c>
      <c r="U38" s="46">
        <f t="shared" si="25"/>
        <v>0.19301779120510237</v>
      </c>
      <c r="V38" s="46">
        <f t="shared" si="25"/>
        <v>0.23616096731532213</v>
      </c>
      <c r="W38" s="46">
        <f t="shared" si="25"/>
        <v>0.18709073900841908</v>
      </c>
      <c r="X38" s="46">
        <f t="shared" si="25"/>
        <v>0.132013201320132</v>
      </c>
      <c r="Y38" s="46">
        <f t="shared" si="25"/>
        <v>0.14849755415793151</v>
      </c>
      <c r="Z38" s="46">
        <f>Z36/Z37</f>
        <v>0.18685064935064935</v>
      </c>
      <c r="AA38" s="46">
        <f t="shared" si="25"/>
        <v>0.14304577464788731</v>
      </c>
      <c r="AB38" s="46">
        <f t="shared" si="25"/>
        <v>8.7454764776839569E-2</v>
      </c>
      <c r="AC38" s="46">
        <f t="shared" si="25"/>
        <v>0.20716801325875284</v>
      </c>
      <c r="AD38" s="46">
        <f t="shared" si="25"/>
        <v>0.32263141328297135</v>
      </c>
      <c r="AE38" s="46">
        <f t="shared" si="25"/>
        <v>0.21478205938092229</v>
      </c>
      <c r="AF38" s="46">
        <f t="shared" si="25"/>
        <v>0.30198621807863801</v>
      </c>
      <c r="AG38" s="46" t="e">
        <f t="shared" si="25"/>
        <v>#DIV/0!</v>
      </c>
      <c r="AH38" s="46" t="e">
        <f t="shared" si="25"/>
        <v>#DIV/0!</v>
      </c>
      <c r="AI38" s="46"/>
      <c r="AJ38" s="46">
        <f t="shared" si="25"/>
        <v>0.1830995670995671</v>
      </c>
      <c r="AK38" s="46">
        <f t="shared" si="25"/>
        <v>0.21379008708851641</v>
      </c>
    </row>
    <row r="39" spans="1:253" x14ac:dyDescent="0.3">
      <c r="A39" s="26"/>
      <c r="B39" s="26" t="s">
        <v>113</v>
      </c>
      <c r="C39" s="257" t="s">
        <v>73</v>
      </c>
      <c r="D39" s="257" t="s">
        <v>74</v>
      </c>
      <c r="E39" s="45">
        <f t="shared" ref="E39:AH39" si="26">E83+E86</f>
        <v>4395</v>
      </c>
      <c r="F39" s="45">
        <f t="shared" si="26"/>
        <v>5898</v>
      </c>
      <c r="G39" s="45">
        <f t="shared" si="26"/>
        <v>2740</v>
      </c>
      <c r="H39" s="45">
        <f t="shared" si="26"/>
        <v>0</v>
      </c>
      <c r="I39" s="45">
        <f t="shared" si="26"/>
        <v>3030</v>
      </c>
      <c r="J39" s="45">
        <f t="shared" si="26"/>
        <v>2150</v>
      </c>
      <c r="K39" s="45">
        <f t="shared" si="26"/>
        <v>2821</v>
      </c>
      <c r="L39" s="45">
        <f t="shared" si="26"/>
        <v>1478</v>
      </c>
      <c r="M39" s="45">
        <f t="shared" si="26"/>
        <v>3635</v>
      </c>
      <c r="N39" s="45">
        <f t="shared" si="26"/>
        <v>4482</v>
      </c>
      <c r="O39" s="45">
        <f t="shared" si="26"/>
        <v>3256</v>
      </c>
      <c r="P39" s="45">
        <f t="shared" si="26"/>
        <v>1800</v>
      </c>
      <c r="Q39" s="45">
        <f t="shared" si="26"/>
        <v>2250</v>
      </c>
      <c r="R39" s="45">
        <f t="shared" si="26"/>
        <v>833</v>
      </c>
      <c r="S39" s="45">
        <f>S83+S86</f>
        <v>4585</v>
      </c>
      <c r="T39" s="45">
        <f t="shared" si="26"/>
        <v>5327</v>
      </c>
      <c r="U39" s="45">
        <f t="shared" si="26"/>
        <v>2000</v>
      </c>
      <c r="V39" s="45">
        <f t="shared" si="26"/>
        <v>4571</v>
      </c>
      <c r="W39" s="45">
        <f t="shared" si="26"/>
        <v>0</v>
      </c>
      <c r="X39" s="45">
        <f t="shared" si="26"/>
        <v>3298</v>
      </c>
      <c r="Y39" s="45">
        <f t="shared" si="26"/>
        <v>3455</v>
      </c>
      <c r="Z39" s="45">
        <f t="shared" si="26"/>
        <v>0</v>
      </c>
      <c r="AA39" s="45">
        <f t="shared" si="26"/>
        <v>4350</v>
      </c>
      <c r="AB39" s="45">
        <f t="shared" si="26"/>
        <v>0</v>
      </c>
      <c r="AC39" s="45">
        <f t="shared" si="26"/>
        <v>4335</v>
      </c>
      <c r="AD39" s="45">
        <f t="shared" si="26"/>
        <v>4555</v>
      </c>
      <c r="AE39" s="45">
        <f t="shared" si="26"/>
        <v>3660</v>
      </c>
      <c r="AF39" s="45">
        <f t="shared" si="26"/>
        <v>4815</v>
      </c>
      <c r="AG39" s="45">
        <f t="shared" si="26"/>
        <v>0</v>
      </c>
      <c r="AH39" s="45">
        <f t="shared" si="26"/>
        <v>0</v>
      </c>
      <c r="AI39" s="45"/>
      <c r="AJ39" s="14">
        <f>SUM(E39:AI39)</f>
        <v>83719</v>
      </c>
      <c r="AK39" s="15">
        <f>AJ39+'[1]April-24'!AI38+'[1]May-24'!AJ38</f>
        <v>270350</v>
      </c>
    </row>
    <row r="40" spans="1:253" x14ac:dyDescent="0.3">
      <c r="A40" s="26"/>
      <c r="B40" s="26" t="s">
        <v>114</v>
      </c>
      <c r="C40" s="257" t="s">
        <v>73</v>
      </c>
      <c r="D40" s="257" t="s">
        <v>74</v>
      </c>
      <c r="E40" s="45">
        <f>E96+E97</f>
        <v>215</v>
      </c>
      <c r="F40" s="45">
        <f t="shared" ref="F40:AH40" si="27">F96+F97</f>
        <v>289</v>
      </c>
      <c r="G40" s="45">
        <f t="shared" si="27"/>
        <v>134</v>
      </c>
      <c r="H40" s="45">
        <f t="shared" si="27"/>
        <v>0</v>
      </c>
      <c r="I40" s="45">
        <f t="shared" si="27"/>
        <v>149</v>
      </c>
      <c r="J40" s="45">
        <f t="shared" si="27"/>
        <v>105</v>
      </c>
      <c r="K40" s="45">
        <f t="shared" si="27"/>
        <v>138</v>
      </c>
      <c r="L40" s="45">
        <f t="shared" si="27"/>
        <v>72</v>
      </c>
      <c r="M40" s="45">
        <f t="shared" si="27"/>
        <v>178</v>
      </c>
      <c r="N40" s="45">
        <f t="shared" si="27"/>
        <v>220</v>
      </c>
      <c r="O40" s="45">
        <f>O96+O97</f>
        <v>159</v>
      </c>
      <c r="P40" s="45">
        <f>P96+P97</f>
        <v>88</v>
      </c>
      <c r="Q40" s="45">
        <f>Q96+Q97</f>
        <v>110</v>
      </c>
      <c r="R40" s="45">
        <f>R96+R97</f>
        <v>41</v>
      </c>
      <c r="S40" s="45">
        <f t="shared" si="27"/>
        <v>225</v>
      </c>
      <c r="T40" s="45">
        <f t="shared" si="27"/>
        <v>261</v>
      </c>
      <c r="U40" s="45">
        <f t="shared" si="27"/>
        <v>98</v>
      </c>
      <c r="V40" s="45">
        <f t="shared" si="27"/>
        <v>224</v>
      </c>
      <c r="W40" s="45">
        <f t="shared" si="27"/>
        <v>0</v>
      </c>
      <c r="X40" s="45">
        <f t="shared" si="27"/>
        <v>162</v>
      </c>
      <c r="Y40" s="45">
        <f t="shared" si="27"/>
        <v>170</v>
      </c>
      <c r="Z40" s="45">
        <f t="shared" si="27"/>
        <v>0</v>
      </c>
      <c r="AA40" s="45">
        <f t="shared" si="27"/>
        <v>213</v>
      </c>
      <c r="AB40" s="45">
        <f t="shared" si="27"/>
        <v>0</v>
      </c>
      <c r="AC40" s="45">
        <f t="shared" si="27"/>
        <v>213</v>
      </c>
      <c r="AD40" s="45">
        <f t="shared" si="27"/>
        <v>223</v>
      </c>
      <c r="AE40" s="45">
        <f t="shared" si="27"/>
        <v>179</v>
      </c>
      <c r="AF40" s="45">
        <f t="shared" si="27"/>
        <v>235</v>
      </c>
      <c r="AG40" s="45">
        <f t="shared" si="27"/>
        <v>0</v>
      </c>
      <c r="AH40" s="45">
        <f t="shared" si="27"/>
        <v>0</v>
      </c>
      <c r="AI40" s="45"/>
      <c r="AJ40" s="14">
        <f>SUM(E40:AI40)</f>
        <v>4101</v>
      </c>
      <c r="AK40" s="15">
        <f>AJ40+'[1]April-24'!AI39+'[1]May-24'!AJ39</f>
        <v>12669.91</v>
      </c>
    </row>
    <row r="41" spans="1:253" x14ac:dyDescent="0.3">
      <c r="A41" s="44">
        <v>10</v>
      </c>
      <c r="B41" s="44" t="s">
        <v>115</v>
      </c>
      <c r="C41" s="191" t="s">
        <v>102</v>
      </c>
      <c r="D41" s="191" t="s">
        <v>109</v>
      </c>
      <c r="E41" s="46">
        <f t="shared" ref="E41:AH41" si="28">IFERROR(E40/E39,"-")</f>
        <v>4.8919226393629126E-2</v>
      </c>
      <c r="F41" s="46">
        <f t="shared" si="28"/>
        <v>4.8999660902000676E-2</v>
      </c>
      <c r="G41" s="46">
        <f t="shared" si="28"/>
        <v>4.8905109489051093E-2</v>
      </c>
      <c r="H41" s="46" t="str">
        <f t="shared" si="28"/>
        <v>-</v>
      </c>
      <c r="I41" s="46">
        <f t="shared" si="28"/>
        <v>4.9174917491749175E-2</v>
      </c>
      <c r="J41" s="46">
        <f t="shared" si="28"/>
        <v>4.8837209302325581E-2</v>
      </c>
      <c r="K41" s="46">
        <f t="shared" si="28"/>
        <v>4.8918823112371501E-2</v>
      </c>
      <c r="L41" s="46">
        <f t="shared" si="28"/>
        <v>4.8714479025710418E-2</v>
      </c>
      <c r="M41" s="46">
        <f t="shared" si="28"/>
        <v>4.8968363136176064E-2</v>
      </c>
      <c r="N41" s="46">
        <f t="shared" si="28"/>
        <v>4.9085229808121376E-2</v>
      </c>
      <c r="O41" s="46">
        <f t="shared" si="28"/>
        <v>4.8832923832923834E-2</v>
      </c>
      <c r="P41" s="46">
        <f t="shared" si="28"/>
        <v>4.8888888888888891E-2</v>
      </c>
      <c r="Q41" s="46">
        <f t="shared" si="28"/>
        <v>4.8888888888888891E-2</v>
      </c>
      <c r="R41" s="46">
        <f t="shared" si="28"/>
        <v>4.9219687875150062E-2</v>
      </c>
      <c r="S41" s="46">
        <f t="shared" si="28"/>
        <v>4.9073064340239912E-2</v>
      </c>
      <c r="T41" s="46">
        <f t="shared" si="28"/>
        <v>4.899568237281772E-2</v>
      </c>
      <c r="U41" s="46">
        <f t="shared" si="28"/>
        <v>4.9000000000000002E-2</v>
      </c>
      <c r="V41" s="46">
        <f t="shared" si="28"/>
        <v>4.9004594180704443E-2</v>
      </c>
      <c r="W41" s="46" t="str">
        <f t="shared" si="28"/>
        <v>-</v>
      </c>
      <c r="X41" s="46">
        <f t="shared" si="28"/>
        <v>4.9120679199514856E-2</v>
      </c>
      <c r="Y41" s="46">
        <f t="shared" si="28"/>
        <v>4.9204052098408106E-2</v>
      </c>
      <c r="Z41" s="46" t="str">
        <f t="shared" si="28"/>
        <v>-</v>
      </c>
      <c r="AA41" s="46">
        <f t="shared" si="28"/>
        <v>4.8965517241379312E-2</v>
      </c>
      <c r="AB41" s="46" t="str">
        <f t="shared" si="28"/>
        <v>-</v>
      </c>
      <c r="AC41" s="46">
        <f t="shared" si="28"/>
        <v>4.9134948096885817E-2</v>
      </c>
      <c r="AD41" s="46">
        <f t="shared" si="28"/>
        <v>4.8957189901207461E-2</v>
      </c>
      <c r="AE41" s="46">
        <f t="shared" si="28"/>
        <v>4.8907103825136612E-2</v>
      </c>
      <c r="AF41" s="46">
        <f t="shared" si="28"/>
        <v>4.8805815160955349E-2</v>
      </c>
      <c r="AG41" s="46" t="str">
        <f t="shared" si="28"/>
        <v>-</v>
      </c>
      <c r="AH41" s="46" t="str">
        <f t="shared" si="28"/>
        <v>-</v>
      </c>
      <c r="AI41" s="46"/>
      <c r="AJ41" s="17">
        <f>AJ40/AJ39</f>
        <v>4.8985296049881152E-2</v>
      </c>
      <c r="AK41" s="17">
        <f>AK40/AK39</f>
        <v>4.6864841871647862E-2</v>
      </c>
    </row>
    <row r="42" spans="1:253" x14ac:dyDescent="0.3">
      <c r="A42" s="26"/>
      <c r="B42" s="26" t="s">
        <v>116</v>
      </c>
      <c r="C42" s="257" t="s">
        <v>117</v>
      </c>
      <c r="D42" s="257" t="s">
        <v>74</v>
      </c>
      <c r="E42" s="48">
        <v>366</v>
      </c>
      <c r="F42" s="48">
        <v>376</v>
      </c>
      <c r="G42" s="48">
        <v>375</v>
      </c>
      <c r="H42" s="48">
        <v>304</v>
      </c>
      <c r="I42" s="48">
        <v>0</v>
      </c>
      <c r="J42" s="48">
        <v>0</v>
      </c>
      <c r="K42" s="48">
        <v>279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644</v>
      </c>
      <c r="S42" s="42">
        <v>553</v>
      </c>
      <c r="T42" s="257">
        <v>579</v>
      </c>
      <c r="U42" s="257">
        <v>564</v>
      </c>
      <c r="V42" s="257">
        <v>612</v>
      </c>
      <c r="W42" s="257">
        <v>510</v>
      </c>
      <c r="X42" s="49">
        <v>477</v>
      </c>
      <c r="Y42" s="49">
        <v>450</v>
      </c>
      <c r="Z42" s="49">
        <v>427</v>
      </c>
      <c r="AA42" s="49">
        <v>480</v>
      </c>
      <c r="AB42" s="49">
        <v>460</v>
      </c>
      <c r="AC42" s="49">
        <v>412</v>
      </c>
      <c r="AD42" s="49">
        <v>351</v>
      </c>
      <c r="AE42" s="49">
        <v>356</v>
      </c>
      <c r="AF42" s="49">
        <v>273</v>
      </c>
      <c r="AG42" s="49"/>
      <c r="AH42" s="49"/>
      <c r="AI42" s="49"/>
      <c r="AJ42" s="14">
        <f t="shared" ref="AJ42:AJ45" si="29">SUM(E42:AI42)</f>
        <v>8848</v>
      </c>
      <c r="AK42" s="15">
        <f>AJ42+'[1]April-24'!AI41+'[1]May-24'!AJ41</f>
        <v>20806</v>
      </c>
      <c r="AL42" s="50">
        <f>AJ45/AJ44</f>
        <v>0.42705271109940429</v>
      </c>
    </row>
    <row r="43" spans="1:253" x14ac:dyDescent="0.3">
      <c r="A43" s="26"/>
      <c r="B43" s="26" t="s">
        <v>118</v>
      </c>
      <c r="C43" s="257" t="s">
        <v>117</v>
      </c>
      <c r="D43" s="257"/>
      <c r="E43" s="51">
        <v>8046</v>
      </c>
      <c r="F43" s="51">
        <v>8048</v>
      </c>
      <c r="G43" s="51">
        <v>8043</v>
      </c>
      <c r="H43" s="51">
        <v>8038</v>
      </c>
      <c r="I43" s="51">
        <v>0</v>
      </c>
      <c r="J43" s="51">
        <v>0</v>
      </c>
      <c r="K43" s="51">
        <v>8033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8028</v>
      </c>
      <c r="S43" s="25">
        <v>8030</v>
      </c>
      <c r="T43" s="25">
        <v>8023</v>
      </c>
      <c r="U43" s="25">
        <v>8018</v>
      </c>
      <c r="V43" s="25">
        <v>8013</v>
      </c>
      <c r="W43" s="25">
        <v>8018</v>
      </c>
      <c r="X43" s="25">
        <v>8008</v>
      </c>
      <c r="Y43" s="25">
        <v>8033</v>
      </c>
      <c r="Z43" s="25">
        <v>8028</v>
      </c>
      <c r="AA43" s="25">
        <v>8023</v>
      </c>
      <c r="AB43" s="25">
        <v>8018</v>
      </c>
      <c r="AC43" s="25">
        <v>8013</v>
      </c>
      <c r="AD43" s="25">
        <v>8018</v>
      </c>
      <c r="AE43" s="25">
        <v>8013</v>
      </c>
      <c r="AF43" s="25">
        <v>8008</v>
      </c>
      <c r="AG43" s="25"/>
      <c r="AH43" s="25"/>
      <c r="AI43" s="25"/>
      <c r="AJ43" s="14">
        <f t="shared" si="29"/>
        <v>160500</v>
      </c>
      <c r="AK43" s="15">
        <f>AJ43+'[1]April-24'!AI42+'[1]May-24'!AJ42</f>
        <v>458297.53079999995</v>
      </c>
    </row>
    <row r="44" spans="1:253" x14ac:dyDescent="0.3">
      <c r="A44" s="26"/>
      <c r="B44" s="26" t="s">
        <v>119</v>
      </c>
      <c r="C44" s="257" t="s">
        <v>117</v>
      </c>
      <c r="D44" s="257"/>
      <c r="E44" s="25">
        <f>E69*E73</f>
        <v>6526450</v>
      </c>
      <c r="F44" s="25">
        <f t="shared" ref="F44:AI44" si="30">F69*F73</f>
        <v>6747575</v>
      </c>
      <c r="G44" s="25">
        <f t="shared" si="30"/>
        <v>6694830</v>
      </c>
      <c r="H44" s="25">
        <f t="shared" si="30"/>
        <v>5583300</v>
      </c>
      <c r="I44" s="25">
        <f t="shared" si="30"/>
        <v>0</v>
      </c>
      <c r="J44" s="25">
        <f t="shared" si="30"/>
        <v>0</v>
      </c>
      <c r="K44" s="25">
        <f t="shared" si="30"/>
        <v>4694805</v>
      </c>
      <c r="L44" s="25">
        <f t="shared" si="30"/>
        <v>6670482</v>
      </c>
      <c r="M44" s="25">
        <f t="shared" si="30"/>
        <v>6796221</v>
      </c>
      <c r="N44" s="25">
        <f t="shared" si="30"/>
        <v>6780768</v>
      </c>
      <c r="O44" s="25">
        <f t="shared" si="30"/>
        <v>6655215</v>
      </c>
      <c r="P44" s="25">
        <f t="shared" si="30"/>
        <v>6590196</v>
      </c>
      <c r="Q44" s="25">
        <f t="shared" si="30"/>
        <v>6060075</v>
      </c>
      <c r="R44" s="25">
        <f t="shared" si="30"/>
        <v>6554000</v>
      </c>
      <c r="S44" s="25">
        <f t="shared" si="30"/>
        <v>6660740</v>
      </c>
      <c r="T44" s="25">
        <f t="shared" si="30"/>
        <v>6654373</v>
      </c>
      <c r="U44" s="25">
        <f t="shared" si="30"/>
        <v>6351741</v>
      </c>
      <c r="V44" s="25">
        <f t="shared" si="30"/>
        <v>6749120</v>
      </c>
      <c r="W44" s="25">
        <f t="shared" si="30"/>
        <v>6672705</v>
      </c>
      <c r="X44" s="25">
        <f t="shared" si="30"/>
        <v>6791076</v>
      </c>
      <c r="Y44" s="25">
        <f t="shared" si="30"/>
        <v>6534252</v>
      </c>
      <c r="Z44" s="25">
        <f t="shared" si="30"/>
        <v>6039495</v>
      </c>
      <c r="AA44" s="25">
        <f t="shared" si="30"/>
        <v>6615735</v>
      </c>
      <c r="AB44" s="25">
        <f t="shared" si="30"/>
        <v>5865544</v>
      </c>
      <c r="AC44" s="25">
        <f t="shared" si="30"/>
        <v>6234592</v>
      </c>
      <c r="AD44" s="25">
        <f t="shared" si="30"/>
        <v>6543512</v>
      </c>
      <c r="AE44" s="25">
        <f t="shared" si="30"/>
        <v>6566670</v>
      </c>
      <c r="AF44" s="25">
        <f t="shared" si="30"/>
        <v>5621000</v>
      </c>
      <c r="AG44" s="25">
        <f t="shared" si="30"/>
        <v>0</v>
      </c>
      <c r="AH44" s="25">
        <f t="shared" si="30"/>
        <v>0</v>
      </c>
      <c r="AI44" s="25">
        <f t="shared" si="30"/>
        <v>0</v>
      </c>
      <c r="AJ44" s="30">
        <f>SUM(E44:AI44)</f>
        <v>166254472</v>
      </c>
      <c r="AK44" s="15">
        <f>AJ44+'[1]April-24'!AI43+'[1]May-24'!AJ43</f>
        <v>546324975.29999995</v>
      </c>
    </row>
    <row r="45" spans="1:253" x14ac:dyDescent="0.3">
      <c r="A45" s="26"/>
      <c r="B45" s="26" t="s">
        <v>120</v>
      </c>
      <c r="C45" s="257" t="s">
        <v>117</v>
      </c>
      <c r="D45" s="257"/>
      <c r="E45" s="52">
        <f>E42*E43</f>
        <v>2944836</v>
      </c>
      <c r="F45" s="52">
        <f>F42*F43</f>
        <v>3026048</v>
      </c>
      <c r="G45" s="52">
        <f t="shared" ref="G45:AH45" si="31">G42*G43</f>
        <v>3016125</v>
      </c>
      <c r="H45" s="52">
        <f t="shared" si="31"/>
        <v>2443552</v>
      </c>
      <c r="I45" s="52">
        <f t="shared" si="31"/>
        <v>0</v>
      </c>
      <c r="J45" s="52">
        <f t="shared" si="31"/>
        <v>0</v>
      </c>
      <c r="K45" s="52">
        <f t="shared" si="31"/>
        <v>2241207</v>
      </c>
      <c r="L45" s="52">
        <f t="shared" si="31"/>
        <v>0</v>
      </c>
      <c r="M45" s="42">
        <f>M42*M43</f>
        <v>0</v>
      </c>
      <c r="N45" s="52">
        <f t="shared" si="31"/>
        <v>0</v>
      </c>
      <c r="O45" s="52">
        <f t="shared" si="31"/>
        <v>0</v>
      </c>
      <c r="P45" s="52">
        <f t="shared" si="31"/>
        <v>0</v>
      </c>
      <c r="Q45" s="52">
        <f t="shared" si="31"/>
        <v>0</v>
      </c>
      <c r="R45" s="52">
        <f t="shared" si="31"/>
        <v>5170032</v>
      </c>
      <c r="S45" s="52">
        <f t="shared" si="31"/>
        <v>4440590</v>
      </c>
      <c r="T45" s="52">
        <f t="shared" si="31"/>
        <v>4645317</v>
      </c>
      <c r="U45" s="52">
        <f t="shared" si="31"/>
        <v>4522152</v>
      </c>
      <c r="V45" s="52">
        <f t="shared" si="31"/>
        <v>4903956</v>
      </c>
      <c r="W45" s="52">
        <f t="shared" si="31"/>
        <v>4089180</v>
      </c>
      <c r="X45" s="52">
        <f t="shared" si="31"/>
        <v>3819816</v>
      </c>
      <c r="Y45" s="52">
        <f t="shared" si="31"/>
        <v>3614850</v>
      </c>
      <c r="Z45" s="52">
        <f t="shared" si="31"/>
        <v>3427956</v>
      </c>
      <c r="AA45" s="52">
        <f t="shared" si="31"/>
        <v>3851040</v>
      </c>
      <c r="AB45" s="52">
        <f t="shared" si="31"/>
        <v>3688280</v>
      </c>
      <c r="AC45" s="52">
        <f t="shared" si="31"/>
        <v>3301356</v>
      </c>
      <c r="AD45" s="52">
        <f t="shared" si="31"/>
        <v>2814318</v>
      </c>
      <c r="AE45" s="52">
        <f t="shared" si="31"/>
        <v>2852628</v>
      </c>
      <c r="AF45" s="52">
        <f t="shared" si="31"/>
        <v>2186184</v>
      </c>
      <c r="AG45" s="52">
        <f t="shared" si="31"/>
        <v>0</v>
      </c>
      <c r="AH45" s="52">
        <f t="shared" si="31"/>
        <v>0</v>
      </c>
      <c r="AI45" s="52"/>
      <c r="AJ45" s="14">
        <f t="shared" si="29"/>
        <v>70999423</v>
      </c>
      <c r="AK45" s="15">
        <f>AJ45+'[1]April-24'!AI44+'[1]May-24'!AJ44</f>
        <v>167311005.49000001</v>
      </c>
    </row>
    <row r="46" spans="1:253" x14ac:dyDescent="0.3">
      <c r="A46" s="44"/>
      <c r="B46" s="44" t="s">
        <v>121</v>
      </c>
      <c r="C46" s="191"/>
      <c r="D46" s="191"/>
      <c r="E46" s="53">
        <f>E45/E44</f>
        <v>0.45121559193742389</v>
      </c>
      <c r="F46" s="53">
        <f t="shared" ref="F46:AH46" si="32">F45/F44</f>
        <v>0.4484645224395431</v>
      </c>
      <c r="G46" s="53">
        <f>G45/G44</f>
        <v>0.4505155470713969</v>
      </c>
      <c r="H46" s="53">
        <f t="shared" si="32"/>
        <v>0.43765371733562586</v>
      </c>
      <c r="I46" s="53" t="e">
        <f t="shared" si="32"/>
        <v>#DIV/0!</v>
      </c>
      <c r="J46" s="53" t="e">
        <f t="shared" si="32"/>
        <v>#DIV/0!</v>
      </c>
      <c r="K46" s="53">
        <f t="shared" si="32"/>
        <v>0.47738021067967679</v>
      </c>
      <c r="L46" s="53">
        <f t="shared" si="32"/>
        <v>0</v>
      </c>
      <c r="M46" s="53">
        <f t="shared" si="32"/>
        <v>0</v>
      </c>
      <c r="N46" s="53">
        <f t="shared" si="32"/>
        <v>0</v>
      </c>
      <c r="O46" s="53">
        <f t="shared" si="32"/>
        <v>0</v>
      </c>
      <c r="P46" s="53">
        <f t="shared" si="32"/>
        <v>0</v>
      </c>
      <c r="Q46" s="53">
        <f t="shared" si="32"/>
        <v>0</v>
      </c>
      <c r="R46" s="53">
        <f t="shared" si="32"/>
        <v>0.78883613060726276</v>
      </c>
      <c r="S46" s="53">
        <f t="shared" si="32"/>
        <v>0.66668117956863648</v>
      </c>
      <c r="T46" s="53">
        <f t="shared" si="32"/>
        <v>0.69808485337386406</v>
      </c>
      <c r="U46" s="53">
        <f t="shared" si="32"/>
        <v>0.71195472233518342</v>
      </c>
      <c r="V46" s="53">
        <f t="shared" si="32"/>
        <v>0.72660672798824144</v>
      </c>
      <c r="W46" s="53">
        <f t="shared" si="32"/>
        <v>0.61282193653098704</v>
      </c>
      <c r="X46" s="53">
        <f t="shared" si="32"/>
        <v>0.56247581384746692</v>
      </c>
      <c r="Y46" s="53">
        <f t="shared" si="32"/>
        <v>0.55321557846253866</v>
      </c>
      <c r="Z46" s="53">
        <f t="shared" si="32"/>
        <v>0.56758983987899647</v>
      </c>
      <c r="AA46" s="53">
        <f t="shared" si="32"/>
        <v>0.58210312232881156</v>
      </c>
      <c r="AB46" s="53">
        <f t="shared" si="32"/>
        <v>0.62880442120969515</v>
      </c>
      <c r="AC46" s="53">
        <f t="shared" si="32"/>
        <v>0.52952238093527215</v>
      </c>
      <c r="AD46" s="53">
        <f t="shared" si="32"/>
        <v>0.43009289201272954</v>
      </c>
      <c r="AE46" s="53">
        <f t="shared" si="32"/>
        <v>0.43441013481719043</v>
      </c>
      <c r="AF46" s="53">
        <f t="shared" si="32"/>
        <v>0.38893150684931505</v>
      </c>
      <c r="AG46" s="53" t="e">
        <f t="shared" si="32"/>
        <v>#DIV/0!</v>
      </c>
      <c r="AH46" s="53" t="e">
        <f t="shared" si="32"/>
        <v>#DIV/0!</v>
      </c>
      <c r="AI46" s="53"/>
      <c r="AJ46" s="17">
        <f>AJ45/AJ44</f>
        <v>0.42705271109940429</v>
      </c>
      <c r="AK46" s="17">
        <f>AK45/AK44</f>
        <v>0.30624813628211961</v>
      </c>
    </row>
    <row r="47" spans="1:253" s="54" customFormat="1" x14ac:dyDescent="0.3">
      <c r="B47" s="55" t="s">
        <v>122</v>
      </c>
      <c r="C47" s="56" t="s">
        <v>117</v>
      </c>
      <c r="D47" s="56" t="s">
        <v>74</v>
      </c>
      <c r="E47" s="49">
        <v>389</v>
      </c>
      <c r="F47" s="49">
        <v>399</v>
      </c>
      <c r="G47" s="49">
        <v>343</v>
      </c>
      <c r="H47" s="49">
        <v>278</v>
      </c>
      <c r="I47" s="49">
        <v>0</v>
      </c>
      <c r="J47" s="49">
        <v>0</v>
      </c>
      <c r="K47" s="49">
        <v>255</v>
      </c>
      <c r="L47" s="49">
        <v>371</v>
      </c>
      <c r="M47" s="49">
        <v>363</v>
      </c>
      <c r="N47" s="49">
        <v>380</v>
      </c>
      <c r="O47" s="49">
        <v>408</v>
      </c>
      <c r="P47" s="49">
        <v>388</v>
      </c>
      <c r="Q47" s="49">
        <v>361</v>
      </c>
      <c r="R47" s="49">
        <v>92</v>
      </c>
      <c r="S47" s="49">
        <v>79</v>
      </c>
      <c r="T47" s="257">
        <v>83</v>
      </c>
      <c r="U47" s="257">
        <v>81</v>
      </c>
      <c r="V47" s="257">
        <v>87</v>
      </c>
      <c r="W47" s="257">
        <v>170</v>
      </c>
      <c r="X47" s="257">
        <v>191</v>
      </c>
      <c r="Y47" s="257">
        <v>180</v>
      </c>
      <c r="Z47" s="49">
        <v>0</v>
      </c>
      <c r="AA47" s="24">
        <v>142.852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/>
      <c r="AH47" s="24"/>
      <c r="AI47" s="24"/>
      <c r="AJ47" s="14">
        <f t="shared" ref="AJ47:AJ49" si="33">SUM(E47:AI47)</f>
        <v>5040.8519999999999</v>
      </c>
      <c r="AK47" s="15">
        <f>AJ47+'[1]April-24'!AI46+'[1]May-24'!AJ46</f>
        <v>33798.851999999999</v>
      </c>
      <c r="AL47" s="57">
        <f>AJ49/AJ44</f>
        <v>0.14745060788500175</v>
      </c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/>
      <c r="FG47" s="57"/>
      <c r="FH47" s="57"/>
      <c r="FI47" s="57"/>
      <c r="FJ47" s="57"/>
      <c r="FK47" s="57"/>
      <c r="FL47" s="57"/>
      <c r="FM47" s="57"/>
      <c r="FN47" s="57"/>
      <c r="FO47" s="57"/>
      <c r="FP47" s="57"/>
      <c r="FQ47" s="57"/>
      <c r="FR47" s="57"/>
      <c r="FS47" s="57"/>
      <c r="FT47" s="57"/>
      <c r="FU47" s="57"/>
      <c r="FV47" s="57"/>
      <c r="FW47" s="57"/>
      <c r="FX47" s="57"/>
      <c r="FY47" s="57"/>
      <c r="FZ47" s="57"/>
      <c r="GA47" s="57"/>
      <c r="GB47" s="57"/>
      <c r="GC47" s="57"/>
      <c r="GD47" s="57"/>
      <c r="GE47" s="57"/>
      <c r="GF47" s="57"/>
      <c r="GG47" s="57"/>
      <c r="GH47" s="57"/>
      <c r="GI47" s="57"/>
      <c r="GJ47" s="57"/>
      <c r="GK47" s="57"/>
      <c r="GL47" s="57"/>
      <c r="GM47" s="57"/>
      <c r="GN47" s="57"/>
      <c r="GO47" s="57"/>
      <c r="GP47" s="57"/>
      <c r="GQ47" s="57"/>
      <c r="GR47" s="57"/>
      <c r="GS47" s="57"/>
      <c r="GT47" s="57"/>
      <c r="GU47" s="57"/>
      <c r="GV47" s="57"/>
      <c r="GW47" s="57"/>
      <c r="GX47" s="57"/>
      <c r="GY47" s="57"/>
      <c r="GZ47" s="57"/>
      <c r="HA47" s="57"/>
      <c r="HB47" s="57"/>
      <c r="HC47" s="57"/>
      <c r="HD47" s="57"/>
      <c r="HE47" s="57"/>
      <c r="HF47" s="57"/>
      <c r="HG47" s="57"/>
      <c r="HH47" s="57"/>
      <c r="HI47" s="57"/>
      <c r="HJ47" s="57"/>
      <c r="HK47" s="57"/>
      <c r="HL47" s="57"/>
      <c r="HM47" s="57"/>
      <c r="HN47" s="57"/>
      <c r="HO47" s="57"/>
      <c r="HP47" s="57"/>
      <c r="HQ47" s="57"/>
      <c r="HR47" s="57"/>
      <c r="HS47" s="57"/>
      <c r="HT47" s="57"/>
      <c r="HU47" s="57"/>
      <c r="HV47" s="57"/>
      <c r="HW47" s="57"/>
      <c r="HX47" s="57"/>
      <c r="HY47" s="57"/>
      <c r="HZ47" s="57"/>
      <c r="IA47" s="57"/>
      <c r="IB47" s="57"/>
      <c r="IC47" s="57"/>
      <c r="ID47" s="57"/>
      <c r="IE47" s="57"/>
      <c r="IF47" s="57"/>
      <c r="IG47" s="57"/>
      <c r="IH47" s="57"/>
      <c r="II47" s="57"/>
      <c r="IJ47" s="57"/>
      <c r="IK47" s="57"/>
      <c r="IL47" s="57"/>
      <c r="IM47" s="57"/>
      <c r="IN47" s="57"/>
      <c r="IO47" s="57"/>
      <c r="IP47" s="57"/>
      <c r="IQ47" s="57"/>
      <c r="IR47" s="57"/>
      <c r="IS47" s="57"/>
    </row>
    <row r="48" spans="1:253" s="54" customFormat="1" x14ac:dyDescent="0.3">
      <c r="B48" s="55" t="s">
        <v>123</v>
      </c>
      <c r="C48" s="56" t="s">
        <v>117</v>
      </c>
      <c r="D48" s="56" t="s">
        <v>124</v>
      </c>
      <c r="E48" s="51">
        <v>4815</v>
      </c>
      <c r="F48" s="51">
        <v>4820</v>
      </c>
      <c r="G48" s="51">
        <v>4815</v>
      </c>
      <c r="H48" s="51">
        <v>4824</v>
      </c>
      <c r="I48" s="51">
        <v>0</v>
      </c>
      <c r="J48" s="51">
        <v>0</v>
      </c>
      <c r="K48" s="51">
        <v>4820</v>
      </c>
      <c r="L48" s="51">
        <v>4825</v>
      </c>
      <c r="M48" s="51">
        <v>4815</v>
      </c>
      <c r="N48" s="51">
        <v>4820</v>
      </c>
      <c r="O48" s="51">
        <v>4815</v>
      </c>
      <c r="P48" s="51">
        <v>4820</v>
      </c>
      <c r="Q48" s="51">
        <v>4958</v>
      </c>
      <c r="R48" s="51">
        <v>4965</v>
      </c>
      <c r="S48" s="51">
        <v>4970</v>
      </c>
      <c r="T48" s="51">
        <v>4980</v>
      </c>
      <c r="U48" s="25">
        <v>4975</v>
      </c>
      <c r="V48" s="25">
        <v>4985</v>
      </c>
      <c r="W48" s="25">
        <v>4975</v>
      </c>
      <c r="X48" s="25">
        <v>4980</v>
      </c>
      <c r="Y48" s="25">
        <v>4970</v>
      </c>
      <c r="Z48" s="25">
        <v>0</v>
      </c>
      <c r="AA48" s="25">
        <v>4980</v>
      </c>
      <c r="AB48" s="25">
        <v>0</v>
      </c>
      <c r="AC48" s="24">
        <v>0</v>
      </c>
      <c r="AD48" s="24">
        <v>0</v>
      </c>
      <c r="AE48" s="24">
        <v>0</v>
      </c>
      <c r="AF48" s="24">
        <v>0</v>
      </c>
      <c r="AG48" s="24"/>
      <c r="AH48" s="24"/>
      <c r="AI48" s="24"/>
      <c r="AJ48" s="14">
        <f t="shared" si="33"/>
        <v>97927</v>
      </c>
      <c r="AK48" s="15">
        <f>AJ48+'[1]April-24'!AI47+'[1]May-24'!AJ47</f>
        <v>394246.52800000005</v>
      </c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/>
      <c r="FG48" s="57"/>
      <c r="FH48" s="57"/>
      <c r="FI48" s="57"/>
      <c r="FJ48" s="57"/>
      <c r="FK48" s="57"/>
      <c r="FL48" s="57"/>
      <c r="FM48" s="57"/>
      <c r="FN48" s="57"/>
      <c r="FO48" s="57"/>
      <c r="FP48" s="57"/>
      <c r="FQ48" s="57"/>
      <c r="FR48" s="57"/>
      <c r="FS48" s="57"/>
      <c r="FT48" s="57"/>
      <c r="FU48" s="57"/>
      <c r="FV48" s="57"/>
      <c r="FW48" s="57"/>
      <c r="FX48" s="57"/>
      <c r="FY48" s="57"/>
      <c r="FZ48" s="57"/>
      <c r="GA48" s="57"/>
      <c r="GB48" s="57"/>
      <c r="GC48" s="57"/>
      <c r="GD48" s="57"/>
      <c r="GE48" s="57"/>
      <c r="GF48" s="57"/>
      <c r="GG48" s="57"/>
      <c r="GH48" s="57"/>
      <c r="GI48" s="57"/>
      <c r="GJ48" s="57"/>
      <c r="GK48" s="57"/>
      <c r="GL48" s="57"/>
      <c r="GM48" s="57"/>
      <c r="GN48" s="57"/>
      <c r="GO48" s="57"/>
      <c r="GP48" s="57"/>
      <c r="GQ48" s="57"/>
      <c r="GR48" s="57"/>
      <c r="GS48" s="57"/>
      <c r="GT48" s="57"/>
      <c r="GU48" s="57"/>
      <c r="GV48" s="57"/>
      <c r="GW48" s="57"/>
      <c r="GX48" s="57"/>
      <c r="GY48" s="57"/>
      <c r="GZ48" s="57"/>
      <c r="HA48" s="57"/>
      <c r="HB48" s="57"/>
      <c r="HC48" s="57"/>
      <c r="HD48" s="57"/>
      <c r="HE48" s="57"/>
      <c r="HF48" s="57"/>
      <c r="HG48" s="57"/>
      <c r="HH48" s="57"/>
      <c r="HI48" s="57"/>
      <c r="HJ48" s="57"/>
      <c r="HK48" s="57"/>
      <c r="HL48" s="57"/>
      <c r="HM48" s="57"/>
      <c r="HN48" s="57"/>
      <c r="HO48" s="57"/>
      <c r="HP48" s="57"/>
      <c r="HQ48" s="57"/>
      <c r="HR48" s="57"/>
      <c r="HS48" s="57"/>
      <c r="HT48" s="57"/>
      <c r="HU48" s="57"/>
      <c r="HV48" s="57"/>
      <c r="HW48" s="57"/>
      <c r="HX48" s="57"/>
      <c r="HY48" s="57"/>
      <c r="HZ48" s="57"/>
      <c r="IA48" s="57"/>
      <c r="IB48" s="57"/>
      <c r="IC48" s="57"/>
      <c r="ID48" s="57"/>
      <c r="IE48" s="57"/>
      <c r="IF48" s="57"/>
      <c r="IG48" s="57"/>
      <c r="IH48" s="57"/>
      <c r="II48" s="57"/>
      <c r="IJ48" s="57"/>
      <c r="IK48" s="57"/>
      <c r="IL48" s="57"/>
      <c r="IM48" s="57"/>
      <c r="IN48" s="57"/>
      <c r="IO48" s="57"/>
      <c r="IP48" s="57"/>
      <c r="IQ48" s="57"/>
      <c r="IR48" s="57"/>
      <c r="IS48" s="57"/>
    </row>
    <row r="49" spans="1:679" s="54" customFormat="1" x14ac:dyDescent="0.3">
      <c r="B49" s="55" t="s">
        <v>125</v>
      </c>
      <c r="C49" s="56" t="s">
        <v>117</v>
      </c>
      <c r="D49" s="56" t="s">
        <v>124</v>
      </c>
      <c r="E49" s="58">
        <f>E47*E48</f>
        <v>1873035</v>
      </c>
      <c r="F49" s="58">
        <f>F47*F48</f>
        <v>1923180</v>
      </c>
      <c r="G49" s="58">
        <f t="shared" ref="G49:AH49" si="34">G47*G48</f>
        <v>1651545</v>
      </c>
      <c r="H49" s="58">
        <f t="shared" si="34"/>
        <v>1341072</v>
      </c>
      <c r="I49" s="58">
        <f t="shared" si="34"/>
        <v>0</v>
      </c>
      <c r="J49" s="58">
        <f t="shared" si="34"/>
        <v>0</v>
      </c>
      <c r="K49" s="58">
        <f t="shared" si="34"/>
        <v>1229100</v>
      </c>
      <c r="L49" s="58">
        <f t="shared" si="34"/>
        <v>1790075</v>
      </c>
      <c r="M49" s="58">
        <f>M47*M48</f>
        <v>1747845</v>
      </c>
      <c r="N49" s="58">
        <f t="shared" si="34"/>
        <v>1831600</v>
      </c>
      <c r="O49" s="58">
        <f t="shared" si="34"/>
        <v>1964520</v>
      </c>
      <c r="P49" s="58">
        <f t="shared" si="34"/>
        <v>1870160</v>
      </c>
      <c r="Q49" s="58">
        <f t="shared" si="34"/>
        <v>1789838</v>
      </c>
      <c r="R49" s="58">
        <f t="shared" si="34"/>
        <v>456780</v>
      </c>
      <c r="S49" s="58">
        <f t="shared" si="34"/>
        <v>392630</v>
      </c>
      <c r="T49" s="58">
        <f t="shared" si="34"/>
        <v>413340</v>
      </c>
      <c r="U49" s="58">
        <f t="shared" si="34"/>
        <v>402975</v>
      </c>
      <c r="V49" s="25">
        <f t="shared" si="34"/>
        <v>433695</v>
      </c>
      <c r="W49" s="25">
        <f t="shared" si="34"/>
        <v>845750</v>
      </c>
      <c r="X49" s="25">
        <f t="shared" si="34"/>
        <v>951180</v>
      </c>
      <c r="Y49" s="25">
        <f t="shared" si="34"/>
        <v>894600</v>
      </c>
      <c r="Z49" s="25">
        <f t="shared" si="34"/>
        <v>0</v>
      </c>
      <c r="AA49" s="25">
        <f t="shared" si="34"/>
        <v>711402.96</v>
      </c>
      <c r="AB49" s="25">
        <f t="shared" si="34"/>
        <v>0</v>
      </c>
      <c r="AC49" s="58">
        <f t="shared" si="34"/>
        <v>0</v>
      </c>
      <c r="AD49" s="58">
        <f t="shared" si="34"/>
        <v>0</v>
      </c>
      <c r="AE49" s="58">
        <f t="shared" si="34"/>
        <v>0</v>
      </c>
      <c r="AF49" s="58">
        <f t="shared" si="34"/>
        <v>0</v>
      </c>
      <c r="AG49" s="58">
        <f t="shared" si="34"/>
        <v>0</v>
      </c>
      <c r="AH49" s="58">
        <f t="shared" si="34"/>
        <v>0</v>
      </c>
      <c r="AI49" s="58"/>
      <c r="AJ49" s="14">
        <f t="shared" si="33"/>
        <v>24514322.960000001</v>
      </c>
      <c r="AK49" s="15">
        <f>AJ49+'[1]April-24'!AI48+'[1]May-24'!AJ48</f>
        <v>168810168.64399999</v>
      </c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/>
      <c r="DY49" s="57"/>
      <c r="DZ49" s="57"/>
      <c r="EA49" s="57"/>
      <c r="EB49" s="57"/>
      <c r="EC49" s="57"/>
      <c r="ED49" s="57"/>
      <c r="EE49" s="57"/>
      <c r="EF49" s="57"/>
      <c r="EG49" s="57"/>
      <c r="EH49" s="57"/>
      <c r="EI49" s="57"/>
      <c r="EJ49" s="57"/>
      <c r="EK49" s="57"/>
      <c r="EL49" s="57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EX49" s="57"/>
      <c r="EY49" s="57"/>
      <c r="EZ49" s="57"/>
      <c r="FA49" s="57"/>
      <c r="FB49" s="57"/>
      <c r="FC49" s="57"/>
      <c r="FD49" s="57"/>
      <c r="FE49" s="57"/>
      <c r="FF49" s="57"/>
      <c r="FG49" s="57"/>
      <c r="FH49" s="57"/>
      <c r="FI49" s="57"/>
      <c r="FJ49" s="57"/>
      <c r="FK49" s="57"/>
      <c r="FL49" s="57"/>
      <c r="FM49" s="57"/>
      <c r="FN49" s="57"/>
      <c r="FO49" s="57"/>
      <c r="FP49" s="57"/>
      <c r="FQ49" s="57"/>
      <c r="FR49" s="57"/>
      <c r="FS49" s="57"/>
      <c r="FT49" s="57"/>
      <c r="FU49" s="57"/>
      <c r="FV49" s="57"/>
      <c r="FW49" s="57"/>
      <c r="FX49" s="57"/>
      <c r="FY49" s="57"/>
      <c r="FZ49" s="57"/>
      <c r="GA49" s="57"/>
      <c r="GB49" s="57"/>
      <c r="GC49" s="57"/>
      <c r="GD49" s="57"/>
      <c r="GE49" s="57"/>
      <c r="GF49" s="57"/>
      <c r="GG49" s="57"/>
      <c r="GH49" s="57"/>
      <c r="GI49" s="57"/>
      <c r="GJ49" s="57"/>
      <c r="GK49" s="57"/>
      <c r="GL49" s="57"/>
      <c r="GM49" s="57"/>
      <c r="GN49" s="57"/>
      <c r="GO49" s="57"/>
      <c r="GP49" s="57"/>
      <c r="GQ49" s="57"/>
      <c r="GR49" s="57"/>
      <c r="GS49" s="57"/>
      <c r="GT49" s="57"/>
      <c r="GU49" s="57"/>
      <c r="GV49" s="57"/>
      <c r="GW49" s="57"/>
      <c r="GX49" s="57"/>
      <c r="GY49" s="57"/>
      <c r="GZ49" s="57"/>
      <c r="HA49" s="57"/>
      <c r="HB49" s="57"/>
      <c r="HC49" s="57"/>
      <c r="HD49" s="57"/>
      <c r="HE49" s="57"/>
      <c r="HF49" s="57"/>
      <c r="HG49" s="57"/>
      <c r="HH49" s="57"/>
      <c r="HI49" s="57"/>
      <c r="HJ49" s="57"/>
      <c r="HK49" s="57"/>
      <c r="HL49" s="57"/>
      <c r="HM49" s="57"/>
      <c r="HN49" s="57"/>
      <c r="HO49" s="57"/>
      <c r="HP49" s="57"/>
      <c r="HQ49" s="57"/>
      <c r="HR49" s="57"/>
      <c r="HS49" s="57"/>
      <c r="HT49" s="57"/>
      <c r="HU49" s="57"/>
      <c r="HV49" s="57"/>
      <c r="HW49" s="57"/>
      <c r="HX49" s="57"/>
      <c r="HY49" s="57"/>
      <c r="HZ49" s="57"/>
      <c r="IA49" s="57"/>
      <c r="IB49" s="57"/>
      <c r="IC49" s="57"/>
      <c r="ID49" s="57"/>
      <c r="IE49" s="57"/>
      <c r="IF49" s="57"/>
      <c r="IG49" s="57"/>
      <c r="IH49" s="57"/>
      <c r="II49" s="57"/>
      <c r="IJ49" s="57"/>
      <c r="IK49" s="57"/>
      <c r="IL49" s="57"/>
      <c r="IM49" s="57"/>
      <c r="IN49" s="57"/>
      <c r="IO49" s="57"/>
      <c r="IP49" s="57"/>
      <c r="IQ49" s="57"/>
      <c r="IR49" s="57"/>
      <c r="IS49" s="57"/>
    </row>
    <row r="50" spans="1:679" x14ac:dyDescent="0.3">
      <c r="A50" s="20">
        <v>11</v>
      </c>
      <c r="B50" s="44" t="s">
        <v>126</v>
      </c>
      <c r="C50" s="191"/>
      <c r="D50" s="191"/>
      <c r="E50" s="21">
        <f>E49/E44</f>
        <v>0.28699139654789357</v>
      </c>
      <c r="F50" s="21">
        <f>F49/F44</f>
        <v>0.28501795089346915</v>
      </c>
      <c r="G50" s="21">
        <f t="shared" ref="G50:AG50" si="35">G49/G44</f>
        <v>0.24668960974363799</v>
      </c>
      <c r="H50" s="21">
        <f t="shared" si="35"/>
        <v>0.24019343399065068</v>
      </c>
      <c r="I50" s="21" t="e">
        <f t="shared" si="35"/>
        <v>#DIV/0!</v>
      </c>
      <c r="J50" s="21" t="e">
        <f t="shared" si="35"/>
        <v>#DIV/0!</v>
      </c>
      <c r="K50" s="21">
        <f t="shared" si="35"/>
        <v>0.26180001086307098</v>
      </c>
      <c r="L50" s="21">
        <f t="shared" si="35"/>
        <v>0.26835766890608503</v>
      </c>
      <c r="M50" s="21">
        <f t="shared" si="35"/>
        <v>0.2571789528327581</v>
      </c>
      <c r="N50" s="21">
        <f t="shared" si="35"/>
        <v>0.27011689531333322</v>
      </c>
      <c r="O50" s="21">
        <f t="shared" si="35"/>
        <v>0.29518505412672619</v>
      </c>
      <c r="P50" s="21">
        <f t="shared" si="35"/>
        <v>0.28377911673643696</v>
      </c>
      <c r="Q50" s="21">
        <f t="shared" si="35"/>
        <v>0.29534914996926603</v>
      </c>
      <c r="R50" s="21">
        <f t="shared" si="35"/>
        <v>6.96948428440647E-2</v>
      </c>
      <c r="S50" s="21">
        <f t="shared" si="35"/>
        <v>5.8946903797475955E-2</v>
      </c>
      <c r="T50" s="21">
        <f t="shared" si="35"/>
        <v>6.2115544169225261E-2</v>
      </c>
      <c r="U50" s="21">
        <f t="shared" si="35"/>
        <v>6.3443235484570287E-2</v>
      </c>
      <c r="V50" s="21">
        <f t="shared" si="35"/>
        <v>6.42594886444455E-2</v>
      </c>
      <c r="W50" s="21">
        <f t="shared" si="35"/>
        <v>0.12674769827228988</v>
      </c>
      <c r="X50" s="21">
        <f t="shared" si="35"/>
        <v>0.14006322414886832</v>
      </c>
      <c r="Y50" s="21">
        <f t="shared" si="35"/>
        <v>0.13690932030169636</v>
      </c>
      <c r="Z50" s="21">
        <f t="shared" si="35"/>
        <v>0</v>
      </c>
      <c r="AA50" s="21">
        <f t="shared" si="35"/>
        <v>0.10753196130135199</v>
      </c>
      <c r="AB50" s="21">
        <f t="shared" si="35"/>
        <v>0</v>
      </c>
      <c r="AC50" s="21">
        <f t="shared" si="35"/>
        <v>0</v>
      </c>
      <c r="AD50" s="21">
        <f t="shared" si="35"/>
        <v>0</v>
      </c>
      <c r="AE50" s="21">
        <f t="shared" si="35"/>
        <v>0</v>
      </c>
      <c r="AF50" s="21">
        <f t="shared" si="35"/>
        <v>0</v>
      </c>
      <c r="AG50" s="21" t="e">
        <f t="shared" si="35"/>
        <v>#DIV/0!</v>
      </c>
      <c r="AH50" s="59" t="e">
        <f>AH49/AH44</f>
        <v>#DIV/0!</v>
      </c>
      <c r="AI50" s="59"/>
      <c r="AJ50" s="17">
        <f>AJ49/AJ44</f>
        <v>0.14745060788500175</v>
      </c>
      <c r="AK50" s="17">
        <f>AK49/AK44</f>
        <v>0.30899222308352703</v>
      </c>
    </row>
    <row r="51" spans="1:679" s="54" customFormat="1" x14ac:dyDescent="0.3">
      <c r="B51" s="26" t="s">
        <v>127</v>
      </c>
      <c r="C51" s="56" t="s">
        <v>117</v>
      </c>
      <c r="D51" s="56" t="s">
        <v>124</v>
      </c>
      <c r="E51" s="48">
        <v>389</v>
      </c>
      <c r="F51" s="48">
        <v>399</v>
      </c>
      <c r="G51" s="48">
        <v>353</v>
      </c>
      <c r="H51" s="48">
        <v>287</v>
      </c>
      <c r="I51" s="48">
        <v>0</v>
      </c>
      <c r="J51" s="48">
        <v>0</v>
      </c>
      <c r="K51" s="48">
        <v>263</v>
      </c>
      <c r="L51" s="48">
        <v>867</v>
      </c>
      <c r="M51" s="48">
        <v>847</v>
      </c>
      <c r="N51" s="48">
        <v>888</v>
      </c>
      <c r="O51" s="48">
        <v>953</v>
      </c>
      <c r="P51" s="48">
        <v>905</v>
      </c>
      <c r="Q51" s="48">
        <v>842</v>
      </c>
      <c r="R51" s="48">
        <v>184</v>
      </c>
      <c r="S51" s="49">
        <v>158</v>
      </c>
      <c r="T51" s="49">
        <v>166</v>
      </c>
      <c r="U51" s="49">
        <v>161</v>
      </c>
      <c r="V51" s="49">
        <v>175</v>
      </c>
      <c r="W51" s="49">
        <v>170</v>
      </c>
      <c r="X51" s="49">
        <v>286</v>
      </c>
      <c r="Y51" s="49">
        <v>270</v>
      </c>
      <c r="Z51" s="49">
        <v>427</v>
      </c>
      <c r="AA51" s="49">
        <v>337.14800000000002</v>
      </c>
      <c r="AB51" s="49">
        <v>460</v>
      </c>
      <c r="AC51" s="49">
        <v>619</v>
      </c>
      <c r="AD51" s="49">
        <v>820</v>
      </c>
      <c r="AE51" s="49">
        <v>831</v>
      </c>
      <c r="AF51" s="49">
        <v>820</v>
      </c>
      <c r="AG51" s="49"/>
      <c r="AH51" s="49"/>
      <c r="AI51" s="49"/>
      <c r="AJ51" s="14">
        <f t="shared" ref="AJ51:AJ53" si="36">SUM(E51:AI51)</f>
        <v>12877.147999999999</v>
      </c>
      <c r="AK51" s="15">
        <f>AJ51+'[1]April-24'!AI50+'[1]May-24'!AJ50</f>
        <v>28948.148000000001</v>
      </c>
      <c r="AL51" s="57">
        <f>AJ53/AJ44</f>
        <v>0.35936074862395284</v>
      </c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57"/>
      <c r="EF51" s="57"/>
      <c r="EG51" s="57"/>
      <c r="EH51" s="57"/>
      <c r="EI51" s="57"/>
      <c r="EJ51" s="57"/>
      <c r="EK51" s="57"/>
      <c r="EL51" s="57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EX51" s="57"/>
      <c r="EY51" s="57"/>
      <c r="EZ51" s="57"/>
      <c r="FA51" s="57"/>
      <c r="FB51" s="57"/>
      <c r="FC51" s="57"/>
      <c r="FD51" s="57"/>
      <c r="FE51" s="57"/>
      <c r="FF51" s="57"/>
      <c r="FG51" s="57"/>
      <c r="FH51" s="57"/>
      <c r="FI51" s="57"/>
      <c r="FJ51" s="57"/>
      <c r="FK51" s="57"/>
      <c r="FL51" s="57"/>
      <c r="FM51" s="57"/>
      <c r="FN51" s="57"/>
      <c r="FO51" s="57"/>
      <c r="FP51" s="57"/>
      <c r="FQ51" s="57"/>
      <c r="FR51" s="57"/>
      <c r="FS51" s="57"/>
      <c r="FT51" s="57"/>
      <c r="FU51" s="57"/>
      <c r="FV51" s="57"/>
      <c r="FW51" s="57"/>
      <c r="FX51" s="57"/>
      <c r="FY51" s="57"/>
      <c r="FZ51" s="57"/>
      <c r="GA51" s="57"/>
      <c r="GB51" s="57"/>
      <c r="GC51" s="57"/>
      <c r="GD51" s="57"/>
      <c r="GE51" s="57"/>
      <c r="GF51" s="57"/>
      <c r="GG51" s="57"/>
      <c r="GH51" s="57"/>
      <c r="GI51" s="57"/>
      <c r="GJ51" s="57"/>
      <c r="GK51" s="57"/>
      <c r="GL51" s="57"/>
      <c r="GM51" s="57"/>
      <c r="GN51" s="57"/>
      <c r="GO51" s="57"/>
      <c r="GP51" s="57"/>
      <c r="GQ51" s="57"/>
      <c r="GR51" s="57"/>
      <c r="GS51" s="57"/>
      <c r="GT51" s="57"/>
      <c r="GU51" s="57"/>
      <c r="GV51" s="57"/>
      <c r="GW51" s="57"/>
      <c r="GX51" s="57"/>
      <c r="GY51" s="57"/>
      <c r="GZ51" s="57"/>
      <c r="HA51" s="57"/>
      <c r="HB51" s="57"/>
      <c r="HC51" s="57"/>
      <c r="HD51" s="57"/>
      <c r="HE51" s="57"/>
      <c r="HF51" s="57"/>
      <c r="HG51" s="57"/>
      <c r="HH51" s="57"/>
      <c r="HI51" s="57"/>
      <c r="HJ51" s="57"/>
      <c r="HK51" s="57"/>
      <c r="HL51" s="57"/>
      <c r="HM51" s="57"/>
      <c r="HN51" s="57"/>
      <c r="HO51" s="57"/>
      <c r="HP51" s="57"/>
      <c r="HQ51" s="57"/>
      <c r="HR51" s="57"/>
      <c r="HS51" s="57"/>
      <c r="HT51" s="57"/>
      <c r="HU51" s="57"/>
      <c r="HV51" s="57"/>
      <c r="HW51" s="57"/>
      <c r="HX51" s="57"/>
      <c r="HY51" s="57"/>
      <c r="HZ51" s="57"/>
      <c r="IA51" s="57"/>
      <c r="IB51" s="57"/>
      <c r="IC51" s="57"/>
      <c r="ID51" s="57"/>
      <c r="IE51" s="57"/>
      <c r="IF51" s="57"/>
      <c r="IG51" s="57"/>
      <c r="IH51" s="57"/>
      <c r="II51" s="57"/>
      <c r="IJ51" s="57"/>
      <c r="IK51" s="57"/>
      <c r="IL51" s="57"/>
      <c r="IM51" s="57"/>
      <c r="IN51" s="57"/>
      <c r="IO51" s="57"/>
      <c r="IP51" s="57"/>
      <c r="IQ51" s="57"/>
      <c r="IR51" s="57"/>
      <c r="IS51" s="57"/>
    </row>
    <row r="52" spans="1:679" s="54" customFormat="1" x14ac:dyDescent="0.3">
      <c r="B52" s="26" t="s">
        <v>128</v>
      </c>
      <c r="C52" s="56" t="s">
        <v>117</v>
      </c>
      <c r="D52" s="56" t="s">
        <v>124</v>
      </c>
      <c r="E52" s="51">
        <v>4396</v>
      </c>
      <c r="F52" s="51">
        <v>4390</v>
      </c>
      <c r="G52" s="51">
        <v>4400</v>
      </c>
      <c r="H52" s="51">
        <v>4420</v>
      </c>
      <c r="I52" s="51">
        <v>0</v>
      </c>
      <c r="J52" s="51">
        <v>0</v>
      </c>
      <c r="K52" s="51">
        <v>4225</v>
      </c>
      <c r="L52" s="51">
        <v>4430</v>
      </c>
      <c r="M52" s="51">
        <v>4420</v>
      </c>
      <c r="N52" s="51">
        <v>4839</v>
      </c>
      <c r="O52" s="51">
        <v>4900</v>
      </c>
      <c r="P52" s="51">
        <v>4895</v>
      </c>
      <c r="Q52" s="51">
        <v>5054</v>
      </c>
      <c r="R52" s="51">
        <v>5050</v>
      </c>
      <c r="S52" s="25">
        <v>5055</v>
      </c>
      <c r="T52" s="25">
        <v>4770</v>
      </c>
      <c r="U52" s="25">
        <v>4775</v>
      </c>
      <c r="V52" s="25">
        <v>4770</v>
      </c>
      <c r="W52" s="25">
        <v>4765</v>
      </c>
      <c r="X52" s="25">
        <v>4775</v>
      </c>
      <c r="Y52" s="25">
        <v>4734</v>
      </c>
      <c r="Z52" s="25">
        <v>4735</v>
      </c>
      <c r="AA52" s="25">
        <v>4740</v>
      </c>
      <c r="AB52" s="25">
        <v>4730</v>
      </c>
      <c r="AC52" s="25">
        <v>4734</v>
      </c>
      <c r="AD52" s="25">
        <v>4468</v>
      </c>
      <c r="AE52" s="25">
        <v>4470</v>
      </c>
      <c r="AF52" s="25">
        <v>4186</v>
      </c>
      <c r="AG52" s="25"/>
      <c r="AH52" s="25"/>
      <c r="AI52" s="25"/>
      <c r="AJ52" s="14">
        <f t="shared" si="36"/>
        <v>121126</v>
      </c>
      <c r="AK52" s="15">
        <f>AJ52+'[1]April-24'!AI51+'[1]May-24'!AJ51</f>
        <v>402396.52800000005</v>
      </c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57"/>
      <c r="EF52" s="57"/>
      <c r="EG52" s="57"/>
      <c r="EH52" s="57"/>
      <c r="EI52" s="57"/>
      <c r="EJ52" s="57"/>
      <c r="EK52" s="57"/>
      <c r="EL52" s="57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EX52" s="57"/>
      <c r="EY52" s="57"/>
      <c r="EZ52" s="57"/>
      <c r="FA52" s="57"/>
      <c r="FB52" s="57"/>
      <c r="FC52" s="57"/>
      <c r="FD52" s="57"/>
      <c r="FE52" s="57"/>
      <c r="FF52" s="57"/>
      <c r="FG52" s="57"/>
      <c r="FH52" s="57"/>
      <c r="FI52" s="57"/>
      <c r="FJ52" s="57"/>
      <c r="FK52" s="57"/>
      <c r="FL52" s="57"/>
      <c r="FM52" s="57"/>
      <c r="FN52" s="57"/>
      <c r="FO52" s="57"/>
      <c r="FP52" s="57"/>
      <c r="FQ52" s="57"/>
      <c r="FR52" s="57"/>
      <c r="FS52" s="57"/>
      <c r="FT52" s="57"/>
      <c r="FU52" s="57"/>
      <c r="FV52" s="57"/>
      <c r="FW52" s="57"/>
      <c r="FX52" s="57"/>
      <c r="FY52" s="57"/>
      <c r="FZ52" s="57"/>
      <c r="GA52" s="57"/>
      <c r="GB52" s="57"/>
      <c r="GC52" s="57"/>
      <c r="GD52" s="57"/>
      <c r="GE52" s="57"/>
      <c r="GF52" s="57"/>
      <c r="GG52" s="57"/>
      <c r="GH52" s="57"/>
      <c r="GI52" s="57"/>
      <c r="GJ52" s="57"/>
      <c r="GK52" s="57"/>
      <c r="GL52" s="57"/>
      <c r="GM52" s="57"/>
      <c r="GN52" s="57"/>
      <c r="GO52" s="57"/>
      <c r="GP52" s="57"/>
      <c r="GQ52" s="57"/>
      <c r="GR52" s="57"/>
      <c r="GS52" s="57"/>
      <c r="GT52" s="57"/>
      <c r="GU52" s="57"/>
      <c r="GV52" s="57"/>
      <c r="GW52" s="57"/>
      <c r="GX52" s="57"/>
      <c r="GY52" s="57"/>
      <c r="GZ52" s="57"/>
      <c r="HA52" s="57"/>
      <c r="HB52" s="57"/>
      <c r="HC52" s="57"/>
      <c r="HD52" s="57"/>
      <c r="HE52" s="57"/>
      <c r="HF52" s="57"/>
      <c r="HG52" s="57"/>
      <c r="HH52" s="57"/>
      <c r="HI52" s="57"/>
      <c r="HJ52" s="57"/>
      <c r="HK52" s="57"/>
      <c r="HL52" s="57"/>
      <c r="HM52" s="57"/>
      <c r="HN52" s="57"/>
      <c r="HO52" s="57"/>
      <c r="HP52" s="57"/>
      <c r="HQ52" s="57"/>
      <c r="HR52" s="57"/>
      <c r="HS52" s="57"/>
      <c r="HT52" s="57"/>
      <c r="HU52" s="57"/>
      <c r="HV52" s="57"/>
      <c r="HW52" s="57"/>
      <c r="HX52" s="57"/>
      <c r="HY52" s="57"/>
      <c r="HZ52" s="57"/>
      <c r="IA52" s="57"/>
      <c r="IB52" s="57"/>
      <c r="IC52" s="57"/>
      <c r="ID52" s="57"/>
      <c r="IE52" s="57"/>
      <c r="IF52" s="57"/>
      <c r="IG52" s="57"/>
      <c r="IH52" s="57"/>
      <c r="II52" s="57"/>
      <c r="IJ52" s="57"/>
      <c r="IK52" s="57"/>
      <c r="IL52" s="57"/>
      <c r="IM52" s="57"/>
      <c r="IN52" s="57"/>
      <c r="IO52" s="57"/>
      <c r="IP52" s="57"/>
      <c r="IQ52" s="57"/>
      <c r="IR52" s="57"/>
      <c r="IS52" s="57"/>
    </row>
    <row r="53" spans="1:679" s="54" customFormat="1" x14ac:dyDescent="0.3">
      <c r="B53" s="26" t="s">
        <v>129</v>
      </c>
      <c r="C53" s="56" t="s">
        <v>117</v>
      </c>
      <c r="D53" s="56" t="s">
        <v>124</v>
      </c>
      <c r="E53" s="58">
        <f>E51*E52</f>
        <v>1710044</v>
      </c>
      <c r="F53" s="58">
        <f>F51*F52</f>
        <v>1751610</v>
      </c>
      <c r="G53" s="58">
        <f t="shared" ref="G53:AH53" si="37">G51*G52</f>
        <v>1553200</v>
      </c>
      <c r="H53" s="58">
        <f t="shared" si="37"/>
        <v>1268540</v>
      </c>
      <c r="I53" s="58">
        <f t="shared" si="37"/>
        <v>0</v>
      </c>
      <c r="J53" s="58">
        <f t="shared" si="37"/>
        <v>0</v>
      </c>
      <c r="K53" s="58">
        <f t="shared" si="37"/>
        <v>1111175</v>
      </c>
      <c r="L53" s="58">
        <f t="shared" si="37"/>
        <v>3840810</v>
      </c>
      <c r="M53" s="60">
        <f t="shared" si="37"/>
        <v>3743740</v>
      </c>
      <c r="N53" s="58">
        <f t="shared" si="37"/>
        <v>4297032</v>
      </c>
      <c r="O53" s="58">
        <f t="shared" si="37"/>
        <v>4669700</v>
      </c>
      <c r="P53" s="58">
        <f t="shared" si="37"/>
        <v>4429975</v>
      </c>
      <c r="Q53" s="58">
        <f t="shared" si="37"/>
        <v>4255468</v>
      </c>
      <c r="R53" s="58">
        <f>R51*R52</f>
        <v>929200</v>
      </c>
      <c r="S53" s="58">
        <f>S51*S52</f>
        <v>798690</v>
      </c>
      <c r="T53" s="58">
        <f>T51*T52</f>
        <v>791820</v>
      </c>
      <c r="U53" s="58">
        <f>U51*U52</f>
        <v>768775</v>
      </c>
      <c r="V53" s="58">
        <f t="shared" si="37"/>
        <v>834750</v>
      </c>
      <c r="W53" s="58">
        <f t="shared" si="37"/>
        <v>810050</v>
      </c>
      <c r="X53" s="58">
        <f t="shared" si="37"/>
        <v>1365650</v>
      </c>
      <c r="Y53" s="58">
        <f t="shared" si="37"/>
        <v>1278180</v>
      </c>
      <c r="Z53" s="58">
        <f t="shared" si="37"/>
        <v>2021845</v>
      </c>
      <c r="AA53" s="58">
        <f t="shared" si="37"/>
        <v>1598081.52</v>
      </c>
      <c r="AB53" s="58">
        <f t="shared" si="37"/>
        <v>2175800</v>
      </c>
      <c r="AC53" s="58">
        <f t="shared" si="37"/>
        <v>2930346</v>
      </c>
      <c r="AD53" s="58">
        <f t="shared" si="37"/>
        <v>3663760</v>
      </c>
      <c r="AE53" s="58">
        <f t="shared" si="37"/>
        <v>3714570</v>
      </c>
      <c r="AF53" s="58">
        <f t="shared" si="37"/>
        <v>3432520</v>
      </c>
      <c r="AG53" s="58">
        <f t="shared" si="37"/>
        <v>0</v>
      </c>
      <c r="AH53" s="58">
        <f t="shared" si="37"/>
        <v>0</v>
      </c>
      <c r="AI53" s="58"/>
      <c r="AJ53" s="14">
        <f t="shared" si="36"/>
        <v>59745331.520000003</v>
      </c>
      <c r="AK53" s="15">
        <f>AJ53+'[1]April-24'!AI52+'[1]May-24'!AJ52</f>
        <v>140795857.24000001</v>
      </c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EX53" s="57"/>
      <c r="EY53" s="57"/>
      <c r="EZ53" s="57"/>
      <c r="FA53" s="57"/>
      <c r="FB53" s="57"/>
      <c r="FC53" s="57"/>
      <c r="FD53" s="57"/>
      <c r="FE53" s="57"/>
      <c r="FF53" s="57"/>
      <c r="FG53" s="57"/>
      <c r="FH53" s="57"/>
      <c r="FI53" s="57"/>
      <c r="FJ53" s="57"/>
      <c r="FK53" s="57"/>
      <c r="FL53" s="57"/>
      <c r="FM53" s="57"/>
      <c r="FN53" s="57"/>
      <c r="FO53" s="57"/>
      <c r="FP53" s="57"/>
      <c r="FQ53" s="57"/>
      <c r="FR53" s="57"/>
      <c r="FS53" s="57"/>
      <c r="FT53" s="57"/>
      <c r="FU53" s="57"/>
      <c r="FV53" s="57"/>
      <c r="FW53" s="57"/>
      <c r="FX53" s="57"/>
      <c r="FY53" s="57"/>
      <c r="FZ53" s="57"/>
      <c r="GA53" s="57"/>
      <c r="GB53" s="57"/>
      <c r="GC53" s="57"/>
      <c r="GD53" s="57"/>
      <c r="GE53" s="57"/>
      <c r="GF53" s="57"/>
      <c r="GG53" s="57"/>
      <c r="GH53" s="57"/>
      <c r="GI53" s="57"/>
      <c r="GJ53" s="57"/>
      <c r="GK53" s="57"/>
      <c r="GL53" s="57"/>
      <c r="GM53" s="57"/>
      <c r="GN53" s="57"/>
      <c r="GO53" s="57"/>
      <c r="GP53" s="57"/>
      <c r="GQ53" s="57"/>
      <c r="GR53" s="57"/>
      <c r="GS53" s="57"/>
      <c r="GT53" s="57"/>
      <c r="GU53" s="57"/>
      <c r="GV53" s="57"/>
      <c r="GW53" s="57"/>
      <c r="GX53" s="57"/>
      <c r="GY53" s="57"/>
      <c r="GZ53" s="57"/>
      <c r="HA53" s="57"/>
      <c r="HB53" s="57"/>
      <c r="HC53" s="57"/>
      <c r="HD53" s="57"/>
      <c r="HE53" s="57"/>
      <c r="HF53" s="57"/>
      <c r="HG53" s="57"/>
      <c r="HH53" s="57"/>
      <c r="HI53" s="57"/>
      <c r="HJ53" s="57"/>
      <c r="HK53" s="57"/>
      <c r="HL53" s="57"/>
      <c r="HM53" s="57"/>
      <c r="HN53" s="57"/>
      <c r="HO53" s="57"/>
      <c r="HP53" s="57"/>
      <c r="HQ53" s="57"/>
      <c r="HR53" s="57"/>
      <c r="HS53" s="57"/>
      <c r="HT53" s="57"/>
      <c r="HU53" s="57"/>
      <c r="HV53" s="57"/>
      <c r="HW53" s="57"/>
      <c r="HX53" s="57"/>
      <c r="HY53" s="57"/>
      <c r="HZ53" s="57"/>
      <c r="IA53" s="57"/>
      <c r="IB53" s="57"/>
      <c r="IC53" s="57"/>
      <c r="ID53" s="57"/>
      <c r="IE53" s="57"/>
      <c r="IF53" s="57"/>
      <c r="IG53" s="57"/>
      <c r="IH53" s="57"/>
      <c r="II53" s="57"/>
      <c r="IJ53" s="57"/>
      <c r="IK53" s="57"/>
      <c r="IL53" s="57"/>
      <c r="IM53" s="57"/>
      <c r="IN53" s="57"/>
      <c r="IO53" s="57"/>
      <c r="IP53" s="57"/>
      <c r="IQ53" s="57"/>
      <c r="IR53" s="57"/>
      <c r="IS53" s="57"/>
    </row>
    <row r="54" spans="1:679" x14ac:dyDescent="0.3">
      <c r="A54" s="20">
        <v>14</v>
      </c>
      <c r="B54" s="44" t="s">
        <v>130</v>
      </c>
      <c r="C54" s="191"/>
      <c r="D54" s="191"/>
      <c r="E54" s="21">
        <f>E53/E44</f>
        <v>0.26201748270499275</v>
      </c>
      <c r="F54" s="21">
        <f>F53/F44</f>
        <v>0.25959103826189411</v>
      </c>
      <c r="G54" s="21">
        <f>G53/G44</f>
        <v>0.2319999163533652</v>
      </c>
      <c r="H54" s="21">
        <f>H53/H44</f>
        <v>0.22720255046298785</v>
      </c>
      <c r="I54" s="21" t="e">
        <f t="shared" ref="I54:AI54" si="38">I53/I44</f>
        <v>#DIV/0!</v>
      </c>
      <c r="J54" s="21" t="e">
        <f t="shared" si="38"/>
        <v>#DIV/0!</v>
      </c>
      <c r="K54" s="21">
        <f t="shared" si="38"/>
        <v>0.2366818217157049</v>
      </c>
      <c r="L54" s="21">
        <f t="shared" si="38"/>
        <v>0.57579197425313489</v>
      </c>
      <c r="M54" s="21">
        <f t="shared" si="38"/>
        <v>0.55085613019352964</v>
      </c>
      <c r="N54" s="21">
        <f t="shared" si="38"/>
        <v>0.63370874803562072</v>
      </c>
      <c r="O54" s="21">
        <f t="shared" si="38"/>
        <v>0.70166027694071487</v>
      </c>
      <c r="P54" s="21">
        <f t="shared" si="38"/>
        <v>0.6722068660780347</v>
      </c>
      <c r="Q54" s="21">
        <f t="shared" si="38"/>
        <v>0.70221375147997345</v>
      </c>
      <c r="R54" s="21">
        <f t="shared" si="38"/>
        <v>0.1417760146475435</v>
      </c>
      <c r="S54" s="21">
        <f t="shared" si="38"/>
        <v>0.11991010007897021</v>
      </c>
      <c r="T54" s="21">
        <f t="shared" si="38"/>
        <v>0.11899242798682912</v>
      </c>
      <c r="U54" s="21">
        <f t="shared" si="38"/>
        <v>0.12103374492127435</v>
      </c>
      <c r="V54" s="21">
        <f t="shared" si="38"/>
        <v>0.1236827912379688</v>
      </c>
      <c r="W54" s="21">
        <f t="shared" si="38"/>
        <v>0.12139754417436407</v>
      </c>
      <c r="X54" s="21">
        <f t="shared" si="38"/>
        <v>0.20109478969164826</v>
      </c>
      <c r="Y54" s="21">
        <f t="shared" si="38"/>
        <v>0.19561229043507963</v>
      </c>
      <c r="Z54" s="21">
        <f t="shared" si="38"/>
        <v>0.33477053958981667</v>
      </c>
      <c r="AA54" s="21">
        <f t="shared" si="38"/>
        <v>0.24155766819559732</v>
      </c>
      <c r="AB54" s="21">
        <f t="shared" si="38"/>
        <v>0.3709459855726937</v>
      </c>
      <c r="AC54" s="21">
        <f t="shared" si="38"/>
        <v>0.47001407630202585</v>
      </c>
      <c r="AD54" s="21">
        <f t="shared" si="38"/>
        <v>0.55990727914917859</v>
      </c>
      <c r="AE54" s="21">
        <f t="shared" si="38"/>
        <v>0.56567027123336489</v>
      </c>
      <c r="AF54" s="21">
        <f t="shared" si="38"/>
        <v>0.61066002490660021</v>
      </c>
      <c r="AG54" s="21" t="e">
        <f t="shared" si="38"/>
        <v>#DIV/0!</v>
      </c>
      <c r="AH54" s="21" t="e">
        <f t="shared" si="38"/>
        <v>#DIV/0!</v>
      </c>
      <c r="AI54" s="21" t="e">
        <f t="shared" si="38"/>
        <v>#DIV/0!</v>
      </c>
      <c r="AJ54" s="17">
        <f>AJ53/AJ44</f>
        <v>0.35936074862395284</v>
      </c>
      <c r="AK54" s="17">
        <f>AK53/AK44</f>
        <v>0.25771448058490404</v>
      </c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57"/>
      <c r="EF54" s="57"/>
      <c r="EG54" s="57"/>
      <c r="EH54" s="57"/>
      <c r="EI54" s="57"/>
      <c r="EJ54" s="57"/>
      <c r="EK54" s="57"/>
      <c r="EL54" s="57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EX54" s="57"/>
      <c r="EY54" s="57"/>
      <c r="EZ54" s="57"/>
      <c r="FA54" s="57"/>
      <c r="FB54" s="57"/>
      <c r="FC54" s="57"/>
      <c r="FD54" s="57"/>
      <c r="FE54" s="57"/>
      <c r="FF54" s="57"/>
      <c r="FG54" s="57"/>
      <c r="FH54" s="57"/>
      <c r="FI54" s="57"/>
      <c r="FJ54" s="57"/>
      <c r="FK54" s="57"/>
      <c r="FL54" s="57"/>
      <c r="FM54" s="57"/>
      <c r="FN54" s="57"/>
      <c r="FO54" s="57"/>
      <c r="FP54" s="57"/>
      <c r="FQ54" s="57"/>
      <c r="FR54" s="57"/>
      <c r="FS54" s="57"/>
      <c r="FT54" s="57"/>
      <c r="FU54" s="57"/>
      <c r="FV54" s="57"/>
      <c r="FW54" s="57"/>
      <c r="FX54" s="57"/>
      <c r="FY54" s="57"/>
      <c r="FZ54" s="57"/>
      <c r="GA54" s="57"/>
      <c r="GB54" s="57"/>
      <c r="GC54" s="57"/>
      <c r="GD54" s="57"/>
      <c r="GE54" s="57"/>
      <c r="GF54" s="57"/>
      <c r="GG54" s="57"/>
      <c r="GH54" s="57"/>
      <c r="GI54" s="57"/>
      <c r="GJ54" s="57"/>
      <c r="GK54" s="57"/>
      <c r="GL54" s="57"/>
      <c r="GM54" s="57"/>
      <c r="GN54" s="57"/>
      <c r="GO54" s="57"/>
      <c r="GP54" s="57"/>
      <c r="GQ54" s="57"/>
      <c r="GR54" s="57"/>
      <c r="GS54" s="57"/>
      <c r="GT54" s="57"/>
      <c r="GU54" s="57"/>
      <c r="GV54" s="57"/>
      <c r="GW54" s="57"/>
      <c r="GX54" s="57"/>
      <c r="GY54" s="57"/>
      <c r="GZ54" s="57"/>
      <c r="HA54" s="57"/>
      <c r="HB54" s="57"/>
      <c r="HC54" s="57"/>
      <c r="HD54" s="57"/>
      <c r="HE54" s="57"/>
      <c r="HF54" s="57"/>
      <c r="HG54" s="57"/>
      <c r="HH54" s="57"/>
      <c r="HI54" s="57"/>
      <c r="HJ54" s="57"/>
      <c r="HK54" s="57"/>
      <c r="HL54" s="57"/>
      <c r="HM54" s="57"/>
      <c r="HN54" s="57"/>
      <c r="HO54" s="57"/>
      <c r="HP54" s="57"/>
      <c r="HQ54" s="57"/>
      <c r="HR54" s="57"/>
      <c r="HS54" s="57"/>
      <c r="HT54" s="57"/>
      <c r="HU54" s="57"/>
      <c r="HV54" s="57"/>
      <c r="HW54" s="57"/>
      <c r="HX54" s="57"/>
      <c r="HY54" s="57"/>
      <c r="HZ54" s="57"/>
      <c r="IA54" s="57"/>
      <c r="IB54" s="57"/>
      <c r="IC54" s="57"/>
      <c r="ID54" s="57"/>
      <c r="IE54" s="57"/>
      <c r="IF54" s="57"/>
      <c r="IG54" s="57"/>
      <c r="IH54" s="57"/>
      <c r="II54" s="57"/>
      <c r="IJ54" s="57"/>
      <c r="IK54" s="57"/>
      <c r="IL54" s="57"/>
      <c r="IM54" s="57"/>
      <c r="IN54" s="57"/>
      <c r="IO54" s="57"/>
      <c r="IP54" s="57"/>
      <c r="IQ54" s="57"/>
      <c r="IR54" s="57"/>
      <c r="IS54" s="57"/>
    </row>
    <row r="55" spans="1:679" x14ac:dyDescent="0.3">
      <c r="A55" s="26"/>
      <c r="B55" s="26" t="s">
        <v>131</v>
      </c>
      <c r="C55" s="257" t="s">
        <v>117</v>
      </c>
      <c r="D55" s="257" t="s">
        <v>74</v>
      </c>
      <c r="E55" s="257">
        <v>0</v>
      </c>
      <c r="F55" s="257">
        <v>0</v>
      </c>
      <c r="G55" s="25">
        <v>0</v>
      </c>
      <c r="H55" s="257">
        <v>0</v>
      </c>
      <c r="I55" s="257">
        <v>0</v>
      </c>
      <c r="J55" s="257">
        <v>101</v>
      </c>
      <c r="K55" s="257">
        <v>101</v>
      </c>
      <c r="L55" s="257">
        <v>0</v>
      </c>
      <c r="M55" s="257">
        <v>0</v>
      </c>
      <c r="N55" s="52">
        <v>0</v>
      </c>
      <c r="O55" s="52">
        <v>0</v>
      </c>
      <c r="P55" s="52">
        <v>0</v>
      </c>
      <c r="Q55" s="52">
        <v>0</v>
      </c>
      <c r="R55" s="52">
        <v>255</v>
      </c>
      <c r="S55" s="52">
        <v>255</v>
      </c>
      <c r="T55" s="257">
        <v>268</v>
      </c>
      <c r="U55" s="257">
        <v>263</v>
      </c>
      <c r="V55" s="257">
        <v>269</v>
      </c>
      <c r="W55" s="257">
        <v>264</v>
      </c>
      <c r="X55" s="257">
        <v>229</v>
      </c>
      <c r="Y55" s="257">
        <v>187</v>
      </c>
      <c r="Z55" s="257">
        <v>191</v>
      </c>
      <c r="AA55" s="24">
        <v>193</v>
      </c>
      <c r="AB55" s="24">
        <v>188</v>
      </c>
      <c r="AC55" s="24">
        <v>188</v>
      </c>
      <c r="AD55" s="49">
        <v>107</v>
      </c>
      <c r="AE55" s="49">
        <v>111</v>
      </c>
      <c r="AF55" s="24">
        <v>0</v>
      </c>
      <c r="AG55" s="24"/>
      <c r="AH55" s="24"/>
      <c r="AI55" s="24"/>
      <c r="AJ55" s="14">
        <f t="shared" ref="AJ55:AJ58" si="39">SUM(E55:AI55)</f>
        <v>3170</v>
      </c>
      <c r="AK55" s="15">
        <f>AJ55+'[1]April-24'!AI54+'[1]May-24'!AJ54</f>
        <v>6729.201</v>
      </c>
    </row>
    <row r="56" spans="1:679" x14ac:dyDescent="0.3">
      <c r="A56" s="26"/>
      <c r="B56" s="26" t="s">
        <v>132</v>
      </c>
      <c r="C56" s="257" t="s">
        <v>117</v>
      </c>
      <c r="D56" s="257"/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8118</v>
      </c>
      <c r="K56" s="25">
        <v>8123</v>
      </c>
      <c r="L56" s="25">
        <v>0</v>
      </c>
      <c r="M56" s="25">
        <v>0</v>
      </c>
      <c r="N56" s="52">
        <v>0</v>
      </c>
      <c r="O56" s="52">
        <v>0</v>
      </c>
      <c r="P56" s="52">
        <v>0</v>
      </c>
      <c r="Q56" s="25">
        <v>0</v>
      </c>
      <c r="R56" s="25">
        <v>8118</v>
      </c>
      <c r="S56" s="25">
        <v>8120</v>
      </c>
      <c r="T56" s="25">
        <v>8123</v>
      </c>
      <c r="U56" s="25">
        <v>8118</v>
      </c>
      <c r="V56" s="25">
        <v>8123</v>
      </c>
      <c r="W56" s="25">
        <v>8113</v>
      </c>
      <c r="X56" s="25">
        <v>8108</v>
      </c>
      <c r="Y56" s="25">
        <v>8118</v>
      </c>
      <c r="Z56" s="25">
        <v>8123</v>
      </c>
      <c r="AA56" s="25">
        <v>8118</v>
      </c>
      <c r="AB56" s="24">
        <v>8113</v>
      </c>
      <c r="AC56" s="24">
        <v>8118</v>
      </c>
      <c r="AD56" s="49">
        <v>8113</v>
      </c>
      <c r="AE56" s="49">
        <v>8108</v>
      </c>
      <c r="AF56" s="24">
        <v>0</v>
      </c>
      <c r="AG56" s="24"/>
      <c r="AH56" s="24"/>
      <c r="AI56" s="24"/>
      <c r="AJ56" s="14">
        <f t="shared" si="39"/>
        <v>129875</v>
      </c>
      <c r="AK56" s="15">
        <f>AJ56+'[1]April-24'!AI55+'[1]May-24'!AJ55</f>
        <v>393974.83999999997</v>
      </c>
    </row>
    <row r="57" spans="1:679" x14ac:dyDescent="0.3">
      <c r="A57" s="26"/>
      <c r="B57" s="26" t="s">
        <v>119</v>
      </c>
      <c r="C57" s="257" t="s">
        <v>117</v>
      </c>
      <c r="D57" s="257"/>
      <c r="E57" s="25">
        <f t="shared" ref="E57:AH57" si="40">E68*E72</f>
        <v>5257688</v>
      </c>
      <c r="F57" s="25">
        <f t="shared" si="40"/>
        <v>5199768</v>
      </c>
      <c r="G57" s="25">
        <f t="shared" si="40"/>
        <v>4847325</v>
      </c>
      <c r="H57" s="25">
        <f t="shared" si="40"/>
        <v>5290992</v>
      </c>
      <c r="I57" s="25">
        <f t="shared" si="40"/>
        <v>5327916</v>
      </c>
      <c r="J57" s="25">
        <f t="shared" si="40"/>
        <v>5295336</v>
      </c>
      <c r="K57" s="25">
        <f t="shared" si="40"/>
        <v>5321400</v>
      </c>
      <c r="L57" s="25">
        <f t="shared" si="40"/>
        <v>5275064</v>
      </c>
      <c r="M57" s="42">
        <f t="shared" si="40"/>
        <v>5227280</v>
      </c>
      <c r="N57" s="25">
        <f>N68*N72</f>
        <v>5167912</v>
      </c>
      <c r="O57" s="25">
        <f t="shared" si="40"/>
        <v>5212750</v>
      </c>
      <c r="P57" s="25">
        <f t="shared" si="40"/>
        <v>5170700</v>
      </c>
      <c r="Q57" s="25">
        <f t="shared" si="40"/>
        <v>5180125</v>
      </c>
      <c r="R57" s="25">
        <f t="shared" si="40"/>
        <v>5078136</v>
      </c>
      <c r="S57" s="25">
        <f t="shared" si="40"/>
        <v>5076450</v>
      </c>
      <c r="T57" s="25">
        <f t="shared" si="40"/>
        <v>5184564</v>
      </c>
      <c r="U57" s="25">
        <f t="shared" si="40"/>
        <v>5075725</v>
      </c>
      <c r="V57" s="25">
        <f t="shared" si="40"/>
        <v>5189448</v>
      </c>
      <c r="W57" s="25">
        <f t="shared" si="40"/>
        <v>5096025</v>
      </c>
      <c r="X57" s="25">
        <f>X68*X72</f>
        <v>5138800</v>
      </c>
      <c r="Y57" s="25">
        <f t="shared" si="40"/>
        <v>5083452</v>
      </c>
      <c r="Z57" s="25">
        <f t="shared" si="40"/>
        <v>5195350</v>
      </c>
      <c r="AA57" s="25">
        <f>AA68*AA72</f>
        <v>5241025</v>
      </c>
      <c r="AB57" s="25">
        <f t="shared" si="40"/>
        <v>5114875</v>
      </c>
      <c r="AC57" s="25">
        <f t="shared" si="40"/>
        <v>5108350</v>
      </c>
      <c r="AD57" s="25">
        <f t="shared" si="40"/>
        <v>5236675</v>
      </c>
      <c r="AE57" s="25">
        <f t="shared" si="40"/>
        <v>5288150</v>
      </c>
      <c r="AF57" s="25">
        <f t="shared" si="40"/>
        <v>5196075</v>
      </c>
      <c r="AG57" s="25">
        <f t="shared" si="40"/>
        <v>0</v>
      </c>
      <c r="AH57" s="25">
        <f t="shared" si="40"/>
        <v>0</v>
      </c>
      <c r="AI57" s="25"/>
      <c r="AJ57" s="14">
        <f t="shared" si="39"/>
        <v>145077356</v>
      </c>
      <c r="AK57" s="15">
        <f>AJ57+'[1]April-24'!AI56+'[1]May-24'!AJ56</f>
        <v>455830758.89999998</v>
      </c>
    </row>
    <row r="58" spans="1:679" s="54" customFormat="1" x14ac:dyDescent="0.3">
      <c r="A58" s="55"/>
      <c r="B58" s="55" t="s">
        <v>120</v>
      </c>
      <c r="C58" s="56" t="s">
        <v>117</v>
      </c>
      <c r="D58" s="56"/>
      <c r="E58" s="61">
        <f>E56*E55</f>
        <v>0</v>
      </c>
      <c r="F58" s="61">
        <f t="shared" ref="F58:AH58" si="41">F56*F55</f>
        <v>0</v>
      </c>
      <c r="G58" s="61">
        <f t="shared" si="41"/>
        <v>0</v>
      </c>
      <c r="H58" s="61">
        <f>H56*H55</f>
        <v>0</v>
      </c>
      <c r="I58" s="61">
        <f t="shared" si="41"/>
        <v>0</v>
      </c>
      <c r="J58" s="61">
        <f t="shared" si="41"/>
        <v>819918</v>
      </c>
      <c r="K58" s="61">
        <f t="shared" si="41"/>
        <v>820423</v>
      </c>
      <c r="L58" s="61">
        <f t="shared" si="41"/>
        <v>0</v>
      </c>
      <c r="M58" s="62">
        <f t="shared" si="41"/>
        <v>0</v>
      </c>
      <c r="N58" s="62">
        <f t="shared" si="41"/>
        <v>0</v>
      </c>
      <c r="O58" s="62">
        <f t="shared" si="41"/>
        <v>0</v>
      </c>
      <c r="P58" s="62">
        <f t="shared" si="41"/>
        <v>0</v>
      </c>
      <c r="Q58" s="62">
        <f t="shared" si="41"/>
        <v>0</v>
      </c>
      <c r="R58" s="62">
        <f t="shared" si="41"/>
        <v>2070090</v>
      </c>
      <c r="S58" s="62">
        <f t="shared" si="41"/>
        <v>2070600</v>
      </c>
      <c r="T58" s="62">
        <f t="shared" si="41"/>
        <v>2176964</v>
      </c>
      <c r="U58" s="62">
        <f t="shared" si="41"/>
        <v>2135034</v>
      </c>
      <c r="V58" s="61">
        <f t="shared" si="41"/>
        <v>2185087</v>
      </c>
      <c r="W58" s="61">
        <f t="shared" si="41"/>
        <v>2141832</v>
      </c>
      <c r="X58" s="61">
        <f t="shared" si="41"/>
        <v>1856732</v>
      </c>
      <c r="Y58" s="61">
        <f t="shared" si="41"/>
        <v>1518066</v>
      </c>
      <c r="Z58" s="61">
        <f t="shared" si="41"/>
        <v>1551493</v>
      </c>
      <c r="AA58" s="61">
        <f t="shared" si="41"/>
        <v>1566774</v>
      </c>
      <c r="AB58" s="61">
        <f t="shared" si="41"/>
        <v>1525244</v>
      </c>
      <c r="AC58" s="61">
        <f t="shared" si="41"/>
        <v>1526184</v>
      </c>
      <c r="AD58" s="61">
        <f t="shared" si="41"/>
        <v>868091</v>
      </c>
      <c r="AE58" s="61">
        <f t="shared" si="41"/>
        <v>899988</v>
      </c>
      <c r="AF58" s="61">
        <f t="shared" si="41"/>
        <v>0</v>
      </c>
      <c r="AG58" s="61">
        <f t="shared" si="41"/>
        <v>0</v>
      </c>
      <c r="AH58" s="61">
        <f t="shared" si="41"/>
        <v>0</v>
      </c>
      <c r="AI58" s="61"/>
      <c r="AJ58" s="14">
        <f t="shared" si="39"/>
        <v>25732520</v>
      </c>
      <c r="AK58" s="15">
        <f>AJ58+'[1]April-24'!AI57+'[1]May-24'!AJ57</f>
        <v>54216968.809</v>
      </c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</row>
    <row r="59" spans="1:679" s="20" customFormat="1" x14ac:dyDescent="0.3">
      <c r="A59" s="44"/>
      <c r="B59" s="44" t="s">
        <v>133</v>
      </c>
      <c r="C59" s="191" t="s">
        <v>117</v>
      </c>
      <c r="D59" s="191" t="s">
        <v>74</v>
      </c>
      <c r="E59" s="53">
        <f>E58/E57</f>
        <v>0</v>
      </c>
      <c r="F59" s="53">
        <f>F58/F57</f>
        <v>0</v>
      </c>
      <c r="G59" s="53">
        <f t="shared" ref="G59:AH59" si="42">G58/G57</f>
        <v>0</v>
      </c>
      <c r="H59" s="53">
        <f t="shared" si="42"/>
        <v>0</v>
      </c>
      <c r="I59" s="53">
        <f t="shared" si="42"/>
        <v>0</v>
      </c>
      <c r="J59" s="53">
        <f t="shared" si="42"/>
        <v>0.15483776666863067</v>
      </c>
      <c r="K59" s="53">
        <f t="shared" si="42"/>
        <v>0.15417427744578494</v>
      </c>
      <c r="L59" s="53">
        <f t="shared" si="42"/>
        <v>0</v>
      </c>
      <c r="M59" s="53">
        <f t="shared" si="42"/>
        <v>0</v>
      </c>
      <c r="N59" s="53">
        <f t="shared" si="42"/>
        <v>0</v>
      </c>
      <c r="O59" s="53">
        <f t="shared" si="42"/>
        <v>0</v>
      </c>
      <c r="P59" s="53">
        <f t="shared" si="42"/>
        <v>0</v>
      </c>
      <c r="Q59" s="53">
        <f t="shared" si="42"/>
        <v>0</v>
      </c>
      <c r="R59" s="53">
        <f t="shared" si="42"/>
        <v>0.40764760928025556</v>
      </c>
      <c r="S59" s="53">
        <f t="shared" si="42"/>
        <v>0.4078834618680377</v>
      </c>
      <c r="T59" s="53">
        <f t="shared" si="42"/>
        <v>0.41989336036742914</v>
      </c>
      <c r="U59" s="53">
        <f t="shared" si="42"/>
        <v>0.42063626378497654</v>
      </c>
      <c r="V59" s="53">
        <f t="shared" si="42"/>
        <v>0.42106347341759665</v>
      </c>
      <c r="W59" s="53">
        <f t="shared" si="42"/>
        <v>0.42029464141168854</v>
      </c>
      <c r="X59" s="53">
        <f t="shared" si="42"/>
        <v>0.36131626060558886</v>
      </c>
      <c r="Y59" s="53">
        <f t="shared" si="42"/>
        <v>0.29862896315338477</v>
      </c>
      <c r="Z59" s="53">
        <f t="shared" si="42"/>
        <v>0.29863108356511109</v>
      </c>
      <c r="AA59" s="53">
        <f>AA58/AA57</f>
        <v>0.29894419507634479</v>
      </c>
      <c r="AB59" s="53">
        <f t="shared" si="42"/>
        <v>0.29819770766636527</v>
      </c>
      <c r="AC59" s="53">
        <f t="shared" si="42"/>
        <v>0.29876261415134048</v>
      </c>
      <c r="AD59" s="53">
        <f t="shared" si="42"/>
        <v>0.16577141029374556</v>
      </c>
      <c r="AE59" s="53">
        <f t="shared" si="42"/>
        <v>0.17018957480404301</v>
      </c>
      <c r="AF59" s="53">
        <f t="shared" si="42"/>
        <v>0</v>
      </c>
      <c r="AG59" s="53" t="e">
        <f t="shared" si="42"/>
        <v>#DIV/0!</v>
      </c>
      <c r="AH59" s="53" t="e">
        <f t="shared" si="42"/>
        <v>#DIV/0!</v>
      </c>
      <c r="AI59" s="53"/>
      <c r="AJ59" s="17">
        <f>AJ58/AJ57</f>
        <v>0.17737102956301465</v>
      </c>
      <c r="AK59" s="17">
        <f>AK58/AK57</f>
        <v>0.11894100551668586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</row>
    <row r="60" spans="1:679" x14ac:dyDescent="0.3">
      <c r="A60" s="26"/>
      <c r="B60" s="26" t="s">
        <v>134</v>
      </c>
      <c r="C60" s="257" t="s">
        <v>117</v>
      </c>
      <c r="D60" s="257"/>
      <c r="E60" s="52">
        <v>319</v>
      </c>
      <c r="F60" s="52">
        <v>313</v>
      </c>
      <c r="G60" s="52">
        <v>294</v>
      </c>
      <c r="H60" s="52">
        <v>320</v>
      </c>
      <c r="I60" s="52">
        <v>321</v>
      </c>
      <c r="J60" s="52">
        <v>302</v>
      </c>
      <c r="K60" s="52">
        <v>303</v>
      </c>
      <c r="L60" s="52">
        <v>0</v>
      </c>
      <c r="M60" s="4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52">
        <v>0</v>
      </c>
      <c r="V60" s="52">
        <v>314</v>
      </c>
      <c r="W60" s="52">
        <v>308</v>
      </c>
      <c r="X60" s="52">
        <v>321</v>
      </c>
      <c r="Y60" s="52">
        <v>202</v>
      </c>
      <c r="Z60" s="52">
        <v>0</v>
      </c>
      <c r="AA60" s="52">
        <v>0</v>
      </c>
      <c r="AB60" s="52">
        <v>0</v>
      </c>
      <c r="AC60" s="52">
        <v>0</v>
      </c>
      <c r="AD60" s="52">
        <v>0</v>
      </c>
      <c r="AE60" s="52">
        <v>0</v>
      </c>
      <c r="AF60" s="52">
        <v>0</v>
      </c>
      <c r="AG60" s="52"/>
      <c r="AH60" s="52"/>
      <c r="AI60" s="52"/>
      <c r="AJ60" s="14">
        <f t="shared" ref="AJ60:AJ62" si="43">SUM(E60:AI60)</f>
        <v>3317</v>
      </c>
      <c r="AK60" s="15">
        <f>AJ60+'[1]April-24'!AI59+'[1]May-24'!AJ59</f>
        <v>24420</v>
      </c>
    </row>
    <row r="61" spans="1:679" x14ac:dyDescent="0.3">
      <c r="A61" s="26"/>
      <c r="B61" s="26" t="s">
        <v>135</v>
      </c>
      <c r="C61" s="257" t="s">
        <v>117</v>
      </c>
      <c r="D61" s="257"/>
      <c r="E61" s="52">
        <v>4772</v>
      </c>
      <c r="F61" s="52">
        <v>4765</v>
      </c>
      <c r="G61" s="52">
        <v>4760</v>
      </c>
      <c r="H61" s="52">
        <v>4790</v>
      </c>
      <c r="I61" s="52">
        <v>4795</v>
      </c>
      <c r="J61" s="52">
        <v>4800</v>
      </c>
      <c r="K61" s="52">
        <v>4790</v>
      </c>
      <c r="L61" s="52">
        <v>0</v>
      </c>
      <c r="M61" s="4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4785</v>
      </c>
      <c r="W61" s="52">
        <v>4780</v>
      </c>
      <c r="X61" s="52">
        <v>4775</v>
      </c>
      <c r="Y61" s="52">
        <v>4770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/>
      <c r="AH61" s="52"/>
      <c r="AI61" s="52"/>
      <c r="AJ61" s="14">
        <f t="shared" si="43"/>
        <v>52582</v>
      </c>
      <c r="AK61" s="15">
        <f>AJ61+'[1]April-24'!AI60+'[1]May-24'!AJ60</f>
        <v>342945.05200000003</v>
      </c>
    </row>
    <row r="62" spans="1:679" x14ac:dyDescent="0.3">
      <c r="A62" s="26"/>
      <c r="B62" s="26" t="s">
        <v>136</v>
      </c>
      <c r="C62" s="257" t="s">
        <v>117</v>
      </c>
      <c r="D62" s="257"/>
      <c r="E62" s="52">
        <f t="shared" ref="E62:AH62" si="44">E61*E60</f>
        <v>1522268</v>
      </c>
      <c r="F62" s="52">
        <f t="shared" si="44"/>
        <v>1491445</v>
      </c>
      <c r="G62" s="52">
        <f t="shared" si="44"/>
        <v>1399440</v>
      </c>
      <c r="H62" s="52">
        <f t="shared" si="44"/>
        <v>1532800</v>
      </c>
      <c r="I62" s="52">
        <f t="shared" si="44"/>
        <v>1539195</v>
      </c>
      <c r="J62" s="52">
        <f t="shared" si="44"/>
        <v>1449600</v>
      </c>
      <c r="K62" s="52">
        <f t="shared" si="44"/>
        <v>1451370</v>
      </c>
      <c r="L62" s="52">
        <f t="shared" si="44"/>
        <v>0</v>
      </c>
      <c r="M62" s="52">
        <f t="shared" si="44"/>
        <v>0</v>
      </c>
      <c r="N62" s="52">
        <f t="shared" si="44"/>
        <v>0</v>
      </c>
      <c r="O62" s="52">
        <f t="shared" si="44"/>
        <v>0</v>
      </c>
      <c r="P62" s="52">
        <f t="shared" si="44"/>
        <v>0</v>
      </c>
      <c r="Q62" s="52">
        <f t="shared" si="44"/>
        <v>0</v>
      </c>
      <c r="R62" s="52">
        <f t="shared" si="44"/>
        <v>0</v>
      </c>
      <c r="S62" s="52">
        <f t="shared" si="44"/>
        <v>0</v>
      </c>
      <c r="T62" s="52">
        <f t="shared" si="44"/>
        <v>0</v>
      </c>
      <c r="U62" s="52">
        <f t="shared" si="44"/>
        <v>0</v>
      </c>
      <c r="V62" s="52">
        <f t="shared" si="44"/>
        <v>1502490</v>
      </c>
      <c r="W62" s="52">
        <f t="shared" si="44"/>
        <v>1472240</v>
      </c>
      <c r="X62" s="52">
        <f t="shared" si="44"/>
        <v>1532775</v>
      </c>
      <c r="Y62" s="52">
        <f t="shared" si="44"/>
        <v>963540</v>
      </c>
      <c r="Z62" s="52">
        <f t="shared" si="44"/>
        <v>0</v>
      </c>
      <c r="AA62" s="52">
        <f t="shared" si="44"/>
        <v>0</v>
      </c>
      <c r="AB62" s="52">
        <f t="shared" si="44"/>
        <v>0</v>
      </c>
      <c r="AC62" s="52">
        <f t="shared" si="44"/>
        <v>0</v>
      </c>
      <c r="AD62" s="52">
        <f t="shared" si="44"/>
        <v>0</v>
      </c>
      <c r="AE62" s="52">
        <f t="shared" si="44"/>
        <v>0</v>
      </c>
      <c r="AF62" s="52">
        <f t="shared" si="44"/>
        <v>0</v>
      </c>
      <c r="AG62" s="52">
        <f t="shared" si="44"/>
        <v>0</v>
      </c>
      <c r="AH62" s="52">
        <f t="shared" si="44"/>
        <v>0</v>
      </c>
      <c r="AI62" s="52"/>
      <c r="AJ62" s="14">
        <f t="shared" si="43"/>
        <v>15857163</v>
      </c>
      <c r="AK62" s="15">
        <f>AJ62+'[1]April-24'!AI61+'[1]May-24'!AJ61</f>
        <v>116345206.54800001</v>
      </c>
    </row>
    <row r="63" spans="1:679" x14ac:dyDescent="0.3">
      <c r="A63" s="44">
        <v>12</v>
      </c>
      <c r="B63" s="44" t="s">
        <v>137</v>
      </c>
      <c r="C63" s="191" t="s">
        <v>117</v>
      </c>
      <c r="D63" s="191" t="s">
        <v>124</v>
      </c>
      <c r="E63" s="21">
        <f>E62/E57</f>
        <v>0.28953182463470634</v>
      </c>
      <c r="F63" s="21">
        <f t="shared" ref="F63:AH63" si="45">F62/F57</f>
        <v>0.28682914314638652</v>
      </c>
      <c r="G63" s="21">
        <f t="shared" si="45"/>
        <v>0.28870356330553448</v>
      </c>
      <c r="H63" s="21">
        <f t="shared" si="45"/>
        <v>0.28969992772621844</v>
      </c>
      <c r="I63" s="21">
        <f t="shared" si="45"/>
        <v>0.28889250506201675</v>
      </c>
      <c r="J63" s="21">
        <f t="shared" si="45"/>
        <v>0.27375033425640977</v>
      </c>
      <c r="K63" s="21">
        <f t="shared" si="45"/>
        <v>0.27274213552824444</v>
      </c>
      <c r="L63" s="21">
        <f t="shared" si="45"/>
        <v>0</v>
      </c>
      <c r="M63" s="21">
        <f t="shared" si="45"/>
        <v>0</v>
      </c>
      <c r="N63" s="21">
        <f t="shared" si="45"/>
        <v>0</v>
      </c>
      <c r="O63" s="21">
        <f t="shared" si="45"/>
        <v>0</v>
      </c>
      <c r="P63" s="21">
        <f t="shared" si="45"/>
        <v>0</v>
      </c>
      <c r="Q63" s="21">
        <f t="shared" si="45"/>
        <v>0</v>
      </c>
      <c r="R63" s="21">
        <f t="shared" si="45"/>
        <v>0</v>
      </c>
      <c r="S63" s="21">
        <f t="shared" si="45"/>
        <v>0</v>
      </c>
      <c r="T63" s="21">
        <f t="shared" si="45"/>
        <v>0</v>
      </c>
      <c r="U63" s="21">
        <f t="shared" si="45"/>
        <v>0</v>
      </c>
      <c r="V63" s="21">
        <f t="shared" si="45"/>
        <v>0.28952790354581065</v>
      </c>
      <c r="W63" s="21">
        <f t="shared" si="45"/>
        <v>0.28889968161459179</v>
      </c>
      <c r="X63" s="21">
        <f t="shared" si="45"/>
        <v>0.29827488907916244</v>
      </c>
      <c r="Y63" s="21">
        <f t="shared" si="45"/>
        <v>0.18954442768417995</v>
      </c>
      <c r="Z63" s="21">
        <f t="shared" si="45"/>
        <v>0</v>
      </c>
      <c r="AA63" s="21">
        <f t="shared" si="45"/>
        <v>0</v>
      </c>
      <c r="AB63" s="21">
        <f t="shared" si="45"/>
        <v>0</v>
      </c>
      <c r="AC63" s="21">
        <f t="shared" si="45"/>
        <v>0</v>
      </c>
      <c r="AD63" s="21">
        <f t="shared" si="45"/>
        <v>0</v>
      </c>
      <c r="AE63" s="21">
        <f t="shared" si="45"/>
        <v>0</v>
      </c>
      <c r="AF63" s="21">
        <f t="shared" si="45"/>
        <v>0</v>
      </c>
      <c r="AG63" s="21" t="e">
        <f t="shared" si="45"/>
        <v>#DIV/0!</v>
      </c>
      <c r="AH63" s="21" t="e">
        <f t="shared" si="45"/>
        <v>#DIV/0!</v>
      </c>
      <c r="AI63" s="21"/>
      <c r="AJ63" s="17">
        <f>AJ62/AJ57</f>
        <v>0.10930143364344191</v>
      </c>
      <c r="AK63" s="17">
        <f>AK62/AK57</f>
        <v>0.25523772645084664</v>
      </c>
    </row>
    <row r="64" spans="1:679" x14ac:dyDescent="0.3">
      <c r="B64" s="26" t="s">
        <v>127</v>
      </c>
      <c r="C64" s="257" t="s">
        <v>117</v>
      </c>
      <c r="D64" s="257" t="s">
        <v>124</v>
      </c>
      <c r="E64" s="24">
        <v>745</v>
      </c>
      <c r="F64" s="24">
        <v>730</v>
      </c>
      <c r="G64" s="25">
        <v>687</v>
      </c>
      <c r="H64" s="24">
        <v>748</v>
      </c>
      <c r="I64" s="24">
        <v>750</v>
      </c>
      <c r="J64" s="24">
        <v>604</v>
      </c>
      <c r="K64" s="24">
        <v>606</v>
      </c>
      <c r="L64" s="24">
        <v>1050</v>
      </c>
      <c r="M64" s="257">
        <v>1041</v>
      </c>
      <c r="N64" s="257">
        <v>1031</v>
      </c>
      <c r="O64" s="257">
        <v>1061</v>
      </c>
      <c r="P64" s="22">
        <v>1056</v>
      </c>
      <c r="Q64" s="22">
        <v>1020</v>
      </c>
      <c r="R64" s="22">
        <v>595</v>
      </c>
      <c r="S64" s="22">
        <v>594</v>
      </c>
      <c r="T64" s="22">
        <v>625</v>
      </c>
      <c r="U64" s="22">
        <v>615</v>
      </c>
      <c r="V64" s="22">
        <v>314</v>
      </c>
      <c r="W64" s="257">
        <v>308</v>
      </c>
      <c r="X64" s="257">
        <v>366</v>
      </c>
      <c r="Y64" s="257">
        <v>545</v>
      </c>
      <c r="Z64" s="257">
        <v>763</v>
      </c>
      <c r="AA64" s="257">
        <v>770</v>
      </c>
      <c r="AB64" s="24">
        <v>752</v>
      </c>
      <c r="AC64" s="24">
        <v>751</v>
      </c>
      <c r="AD64" s="49">
        <v>964</v>
      </c>
      <c r="AE64" s="49">
        <v>1002</v>
      </c>
      <c r="AF64" s="49">
        <v>1187</v>
      </c>
      <c r="AG64" s="49"/>
      <c r="AH64" s="49"/>
      <c r="AI64" s="49"/>
      <c r="AJ64" s="14">
        <f t="shared" ref="AJ64:AJ66" si="46">SUM(E64:AI64)</f>
        <v>21280</v>
      </c>
      <c r="AK64" s="15">
        <f>AJ64+'[1]April-24'!AI63+'[1]May-24'!AJ63</f>
        <v>57322.798999999999</v>
      </c>
    </row>
    <row r="65" spans="1:253" x14ac:dyDescent="0.3">
      <c r="B65" s="26" t="s">
        <v>128</v>
      </c>
      <c r="C65" s="257" t="s">
        <v>117</v>
      </c>
      <c r="D65" s="257" t="s">
        <v>124</v>
      </c>
      <c r="E65" s="25">
        <v>5015</v>
      </c>
      <c r="F65" s="25">
        <v>5010</v>
      </c>
      <c r="G65" s="25">
        <v>5020</v>
      </c>
      <c r="H65" s="25">
        <v>5025</v>
      </c>
      <c r="I65" s="25">
        <v>5020</v>
      </c>
      <c r="J65" s="25">
        <v>5015</v>
      </c>
      <c r="K65" s="25">
        <v>5030</v>
      </c>
      <c r="L65" s="25">
        <v>5025</v>
      </c>
      <c r="M65" s="25">
        <v>5020</v>
      </c>
      <c r="N65" s="63">
        <v>5015</v>
      </c>
      <c r="O65" s="63">
        <v>4890</v>
      </c>
      <c r="P65" s="63">
        <v>4900</v>
      </c>
      <c r="Q65" s="25">
        <v>5062</v>
      </c>
      <c r="R65" s="25">
        <v>5060</v>
      </c>
      <c r="S65" s="25">
        <v>5065</v>
      </c>
      <c r="T65" s="25">
        <v>4770</v>
      </c>
      <c r="U65" s="25">
        <v>4775</v>
      </c>
      <c r="V65" s="25">
        <v>4780</v>
      </c>
      <c r="W65" s="25">
        <v>4770</v>
      </c>
      <c r="X65" s="25">
        <v>4765</v>
      </c>
      <c r="Y65" s="25">
        <v>4770</v>
      </c>
      <c r="Z65" s="25">
        <v>4775</v>
      </c>
      <c r="AA65" s="25">
        <v>4760</v>
      </c>
      <c r="AB65" s="49">
        <v>4775</v>
      </c>
      <c r="AC65" s="49">
        <v>4770</v>
      </c>
      <c r="AD65" s="49">
        <v>4380</v>
      </c>
      <c r="AE65" s="49">
        <v>4378</v>
      </c>
      <c r="AF65" s="49">
        <v>4375</v>
      </c>
      <c r="AG65" s="49"/>
      <c r="AH65" s="49"/>
      <c r="AI65" s="49"/>
      <c r="AJ65" s="14">
        <f t="shared" si="46"/>
        <v>136015</v>
      </c>
      <c r="AK65" s="15">
        <f>AJ65+'[1]April-24'!AI64+'[1]May-24'!AJ64</f>
        <v>442625.05200000003</v>
      </c>
    </row>
    <row r="66" spans="1:253" x14ac:dyDescent="0.3">
      <c r="B66" s="26" t="s">
        <v>129</v>
      </c>
      <c r="C66" s="257" t="s">
        <v>117</v>
      </c>
      <c r="D66" s="257" t="s">
        <v>124</v>
      </c>
      <c r="E66" s="64">
        <f>E65*E64</f>
        <v>3736175</v>
      </c>
      <c r="F66" s="64">
        <f>F65*F64</f>
        <v>3657300</v>
      </c>
      <c r="G66" s="64">
        <f t="shared" ref="G66:AH66" si="47">G65*G64</f>
        <v>3448740</v>
      </c>
      <c r="H66" s="64">
        <f t="shared" si="47"/>
        <v>3758700</v>
      </c>
      <c r="I66" s="64">
        <f t="shared" si="47"/>
        <v>3765000</v>
      </c>
      <c r="J66" s="64">
        <f t="shared" si="47"/>
        <v>3029060</v>
      </c>
      <c r="K66" s="64">
        <f t="shared" si="47"/>
        <v>3048180</v>
      </c>
      <c r="L66" s="64">
        <f t="shared" si="47"/>
        <v>5276250</v>
      </c>
      <c r="M66" s="65">
        <f t="shared" si="47"/>
        <v>5225820</v>
      </c>
      <c r="N66" s="64">
        <f t="shared" si="47"/>
        <v>5170465</v>
      </c>
      <c r="O66" s="64">
        <f t="shared" si="47"/>
        <v>5188290</v>
      </c>
      <c r="P66" s="64">
        <f t="shared" si="47"/>
        <v>5174400</v>
      </c>
      <c r="Q66" s="64">
        <f t="shared" si="47"/>
        <v>5163240</v>
      </c>
      <c r="R66" s="64">
        <f>R65*R64</f>
        <v>3010700</v>
      </c>
      <c r="S66" s="64">
        <f>S65*S64</f>
        <v>3008610</v>
      </c>
      <c r="T66" s="64">
        <f>T65*T64</f>
        <v>2981250</v>
      </c>
      <c r="U66" s="64">
        <f>U65*U64</f>
        <v>2936625</v>
      </c>
      <c r="V66" s="64">
        <f t="shared" si="47"/>
        <v>1500920</v>
      </c>
      <c r="W66" s="64">
        <f t="shared" si="47"/>
        <v>1469160</v>
      </c>
      <c r="X66" s="64">
        <f t="shared" si="47"/>
        <v>1743990</v>
      </c>
      <c r="Y66" s="64">
        <f t="shared" si="47"/>
        <v>2599650</v>
      </c>
      <c r="Z66" s="64">
        <f t="shared" si="47"/>
        <v>3643325</v>
      </c>
      <c r="AA66" s="64">
        <f t="shared" si="47"/>
        <v>3665200</v>
      </c>
      <c r="AB66" s="64">
        <f t="shared" si="47"/>
        <v>3590800</v>
      </c>
      <c r="AC66" s="64">
        <f t="shared" si="47"/>
        <v>3582270</v>
      </c>
      <c r="AD66" s="64">
        <f t="shared" si="47"/>
        <v>4222320</v>
      </c>
      <c r="AE66" s="64">
        <f t="shared" si="47"/>
        <v>4386756</v>
      </c>
      <c r="AF66" s="64">
        <f t="shared" si="47"/>
        <v>5193125</v>
      </c>
      <c r="AG66" s="64">
        <f t="shared" si="47"/>
        <v>0</v>
      </c>
      <c r="AH66" s="64">
        <f t="shared" si="47"/>
        <v>0</v>
      </c>
      <c r="AI66" s="64"/>
      <c r="AJ66" s="14">
        <f t="shared" si="46"/>
        <v>103176321</v>
      </c>
      <c r="AK66" s="15">
        <f>AJ66+'[1]April-24'!AI65+'[1]May-24'!AJ65</f>
        <v>283342286.89899999</v>
      </c>
    </row>
    <row r="67" spans="1:253" x14ac:dyDescent="0.3">
      <c r="A67" s="20">
        <v>14</v>
      </c>
      <c r="B67" s="44" t="s">
        <v>138</v>
      </c>
      <c r="C67" s="191" t="s">
        <v>117</v>
      </c>
      <c r="D67" s="191" t="s">
        <v>124</v>
      </c>
      <c r="E67" s="21">
        <f t="shared" ref="E67:AH67" si="48">E66/(E57)</f>
        <v>0.7106117746051116</v>
      </c>
      <c r="F67" s="21">
        <f t="shared" si="48"/>
        <v>0.7033583036781641</v>
      </c>
      <c r="G67" s="21">
        <f t="shared" si="48"/>
        <v>0.71147282263929079</v>
      </c>
      <c r="H67" s="21">
        <f t="shared" si="48"/>
        <v>0.71039608451496428</v>
      </c>
      <c r="I67" s="21">
        <f t="shared" si="48"/>
        <v>0.7066552851058463</v>
      </c>
      <c r="J67" s="21">
        <f t="shared" si="48"/>
        <v>0.57202413595662294</v>
      </c>
      <c r="K67" s="21">
        <f t="shared" si="48"/>
        <v>0.57281542451234635</v>
      </c>
      <c r="L67" s="21">
        <f t="shared" si="48"/>
        <v>1.0002248313954105</v>
      </c>
      <c r="M67" s="21">
        <f t="shared" si="48"/>
        <v>0.99972069604077074</v>
      </c>
      <c r="N67" s="21">
        <f t="shared" si="48"/>
        <v>1.000494009959922</v>
      </c>
      <c r="O67" s="21">
        <f>O66/(O57)</f>
        <v>0.9953076591050789</v>
      </c>
      <c r="P67" s="21">
        <f t="shared" si="48"/>
        <v>1.0007155704256676</v>
      </c>
      <c r="Q67" s="21">
        <f t="shared" si="48"/>
        <v>0.99674042614801761</v>
      </c>
      <c r="R67" s="21">
        <f t="shared" si="48"/>
        <v>0.59287502343379539</v>
      </c>
      <c r="S67" s="21">
        <f t="shared" si="48"/>
        <v>0.59266022515734418</v>
      </c>
      <c r="T67" s="21">
        <f t="shared" si="48"/>
        <v>0.57502424504741378</v>
      </c>
      <c r="U67" s="21">
        <f t="shared" si="48"/>
        <v>0.57856266838727477</v>
      </c>
      <c r="V67" s="21">
        <f t="shared" si="48"/>
        <v>0.28922536655150993</v>
      </c>
      <c r="W67" s="21">
        <f t="shared" si="48"/>
        <v>0.28829528897523071</v>
      </c>
      <c r="X67" s="21">
        <f t="shared" si="48"/>
        <v>0.339376897330116</v>
      </c>
      <c r="Y67" s="21">
        <f t="shared" si="48"/>
        <v>0.5113946192469212</v>
      </c>
      <c r="Z67" s="21">
        <f t="shared" si="48"/>
        <v>0.70126651717401134</v>
      </c>
      <c r="AA67" s="21">
        <f>AA66/(AA57)</f>
        <v>0.69932885265763856</v>
      </c>
      <c r="AB67" s="21">
        <f t="shared" si="48"/>
        <v>0.70203084141841199</v>
      </c>
      <c r="AC67" s="21">
        <f t="shared" si="48"/>
        <v>0.70125774467293744</v>
      </c>
      <c r="AD67" s="21">
        <f t="shared" si="48"/>
        <v>0.80629788940501368</v>
      </c>
      <c r="AE67" s="21">
        <f t="shared" si="48"/>
        <v>0.8295445477151745</v>
      </c>
      <c r="AF67" s="21">
        <f t="shared" si="48"/>
        <v>0.99943226377602323</v>
      </c>
      <c r="AG67" s="21" t="e">
        <f t="shared" si="48"/>
        <v>#DIV/0!</v>
      </c>
      <c r="AH67" s="21" t="e">
        <f t="shared" si="48"/>
        <v>#DIV/0!</v>
      </c>
      <c r="AI67" s="21"/>
      <c r="AJ67" s="17">
        <f>AJ66/(AJ57)</f>
        <v>0.71118142654874406</v>
      </c>
      <c r="AK67" s="17">
        <f>AK66/(AK57)</f>
        <v>0.62159536487347833</v>
      </c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57"/>
      <c r="EF67" s="57"/>
      <c r="EG67" s="57"/>
      <c r="EH67" s="57"/>
      <c r="EI67" s="57"/>
      <c r="EJ67" s="57"/>
      <c r="EK67" s="57"/>
      <c r="EL67" s="5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EX67" s="57"/>
      <c r="EY67" s="57"/>
      <c r="EZ67" s="57"/>
      <c r="FA67" s="57"/>
      <c r="FB67" s="57"/>
      <c r="FC67" s="57"/>
      <c r="FD67" s="57"/>
      <c r="FE67" s="57"/>
      <c r="FF67" s="57"/>
      <c r="FG67" s="57"/>
      <c r="FH67" s="57"/>
      <c r="FI67" s="57"/>
      <c r="FJ67" s="57"/>
      <c r="FK67" s="57"/>
      <c r="FL67" s="57"/>
      <c r="FM67" s="57"/>
      <c r="FN67" s="57"/>
      <c r="FO67" s="57"/>
      <c r="FP67" s="57"/>
      <c r="FQ67" s="57"/>
      <c r="FR67" s="57"/>
      <c r="FS67" s="57"/>
      <c r="FT67" s="57"/>
      <c r="FU67" s="57"/>
      <c r="FV67" s="57"/>
      <c r="FW67" s="57"/>
      <c r="FX67" s="57"/>
      <c r="FY67" s="57"/>
      <c r="FZ67" s="57"/>
      <c r="GA67" s="57"/>
      <c r="GB67" s="57"/>
      <c r="GC67" s="57"/>
      <c r="GD67" s="57"/>
      <c r="GE67" s="57"/>
      <c r="GF67" s="57"/>
      <c r="GG67" s="57"/>
      <c r="GH67" s="57"/>
      <c r="GI67" s="57"/>
      <c r="GJ67" s="57"/>
      <c r="GK67" s="57"/>
      <c r="GL67" s="57"/>
      <c r="GM67" s="57"/>
      <c r="GN67" s="57"/>
      <c r="GO67" s="57"/>
      <c r="GP67" s="57"/>
      <c r="GQ67" s="57"/>
      <c r="GR67" s="57"/>
      <c r="GS67" s="57"/>
      <c r="GT67" s="57"/>
      <c r="GU67" s="57"/>
      <c r="GV67" s="57"/>
      <c r="GW67" s="57"/>
      <c r="GX67" s="57"/>
      <c r="GY67" s="57"/>
      <c r="GZ67" s="57"/>
      <c r="HA67" s="57"/>
      <c r="HB67" s="57"/>
      <c r="HC67" s="57"/>
      <c r="HD67" s="57"/>
      <c r="HE67" s="57"/>
      <c r="HF67" s="57"/>
      <c r="HG67" s="57"/>
      <c r="HH67" s="57"/>
      <c r="HI67" s="57"/>
      <c r="HJ67" s="57"/>
      <c r="HK67" s="57"/>
      <c r="HL67" s="57"/>
      <c r="HM67" s="57"/>
      <c r="HN67" s="57"/>
      <c r="HO67" s="57"/>
      <c r="HP67" s="57"/>
      <c r="HQ67" s="57"/>
      <c r="HR67" s="57"/>
      <c r="HS67" s="57"/>
      <c r="HT67" s="57"/>
      <c r="HU67" s="57"/>
      <c r="HV67" s="57"/>
      <c r="HW67" s="57"/>
      <c r="HX67" s="57"/>
      <c r="HY67" s="57"/>
      <c r="HZ67" s="57"/>
      <c r="IA67" s="57"/>
      <c r="IB67" s="57"/>
      <c r="IC67" s="57"/>
      <c r="ID67" s="57"/>
      <c r="IE67" s="57"/>
      <c r="IF67" s="57"/>
      <c r="IG67" s="57"/>
      <c r="IH67" s="57"/>
      <c r="II67" s="57"/>
      <c r="IJ67" s="57"/>
      <c r="IK67" s="57"/>
      <c r="IL67" s="57"/>
      <c r="IM67" s="57"/>
      <c r="IN67" s="57"/>
      <c r="IO67" s="57"/>
      <c r="IP67" s="57"/>
      <c r="IQ67" s="57"/>
      <c r="IR67" s="57"/>
      <c r="IS67" s="57"/>
    </row>
    <row r="68" spans="1:253" x14ac:dyDescent="0.3">
      <c r="B68" s="55" t="s">
        <v>139</v>
      </c>
      <c r="C68" s="56"/>
      <c r="D68" s="56"/>
      <c r="E68" s="66">
        <v>724</v>
      </c>
      <c r="F68" s="66">
        <v>724</v>
      </c>
      <c r="G68" s="66">
        <v>735</v>
      </c>
      <c r="H68" s="66">
        <v>724</v>
      </c>
      <c r="I68" s="66">
        <v>724</v>
      </c>
      <c r="J68" s="66">
        <v>724</v>
      </c>
      <c r="K68" s="66">
        <v>724</v>
      </c>
      <c r="L68" s="66">
        <v>724</v>
      </c>
      <c r="M68" s="60">
        <v>724</v>
      </c>
      <c r="N68" s="67">
        <v>724</v>
      </c>
      <c r="O68" s="67">
        <v>725</v>
      </c>
      <c r="P68" s="67">
        <v>725</v>
      </c>
      <c r="Q68" s="66">
        <v>725</v>
      </c>
      <c r="R68" s="67">
        <v>724</v>
      </c>
      <c r="S68" s="67">
        <v>725</v>
      </c>
      <c r="T68" s="67">
        <v>724</v>
      </c>
      <c r="U68" s="67">
        <v>725</v>
      </c>
      <c r="V68" s="66">
        <v>726</v>
      </c>
      <c r="W68" s="66">
        <v>725</v>
      </c>
      <c r="X68" s="66">
        <v>725</v>
      </c>
      <c r="Y68" s="66">
        <v>726</v>
      </c>
      <c r="Z68" s="66">
        <v>725</v>
      </c>
      <c r="AA68" s="66">
        <v>725</v>
      </c>
      <c r="AB68" s="66">
        <v>725</v>
      </c>
      <c r="AC68" s="66">
        <v>725</v>
      </c>
      <c r="AD68" s="66">
        <v>725</v>
      </c>
      <c r="AE68" s="66">
        <v>725</v>
      </c>
      <c r="AF68" s="66">
        <v>725</v>
      </c>
      <c r="AG68" s="66"/>
      <c r="AH68" s="66"/>
      <c r="AI68" s="66"/>
      <c r="AJ68" s="58">
        <f>AJ57/AJ15</f>
        <v>725.00252865981031</v>
      </c>
      <c r="AK68" s="58">
        <f>AK57/AK15</f>
        <v>724.04427030221007</v>
      </c>
      <c r="AL68" s="68">
        <f>(AJ57+AJ44)/(AJ72+AJ73)</f>
        <v>730.01019518097155</v>
      </c>
    </row>
    <row r="69" spans="1:253" x14ac:dyDescent="0.3">
      <c r="B69" s="55" t="s">
        <v>140</v>
      </c>
      <c r="C69" s="56"/>
      <c r="D69" s="56"/>
      <c r="E69" s="66">
        <v>725</v>
      </c>
      <c r="F69" s="66">
        <v>725</v>
      </c>
      <c r="G69" s="66">
        <v>730</v>
      </c>
      <c r="H69" s="66">
        <v>740</v>
      </c>
      <c r="I69" s="66">
        <v>0</v>
      </c>
      <c r="J69" s="66">
        <v>0</v>
      </c>
      <c r="K69" s="66">
        <v>765</v>
      </c>
      <c r="L69" s="66">
        <v>741</v>
      </c>
      <c r="M69" s="66">
        <v>743</v>
      </c>
      <c r="N69" s="66">
        <v>736</v>
      </c>
      <c r="O69" s="66">
        <v>723</v>
      </c>
      <c r="P69" s="66">
        <v>732</v>
      </c>
      <c r="Q69" s="66">
        <v>735</v>
      </c>
      <c r="R69" s="67">
        <v>725</v>
      </c>
      <c r="S69" s="67">
        <v>740</v>
      </c>
      <c r="T69" s="67">
        <v>737</v>
      </c>
      <c r="U69" s="67">
        <v>747</v>
      </c>
      <c r="V69" s="66">
        <v>736</v>
      </c>
      <c r="W69" s="66">
        <v>741</v>
      </c>
      <c r="X69" s="66">
        <v>738</v>
      </c>
      <c r="Y69" s="66">
        <v>738</v>
      </c>
      <c r="Z69" s="66">
        <v>735</v>
      </c>
      <c r="AA69" s="66">
        <v>735</v>
      </c>
      <c r="AB69" s="66">
        <v>731</v>
      </c>
      <c r="AC69" s="66">
        <v>728</v>
      </c>
      <c r="AD69" s="66">
        <v>724</v>
      </c>
      <c r="AE69" s="66">
        <v>726</v>
      </c>
      <c r="AF69" s="66">
        <v>730</v>
      </c>
      <c r="AG69" s="66"/>
      <c r="AH69" s="66"/>
      <c r="AI69" s="66"/>
      <c r="AJ69" s="69">
        <f>AJ44/AJ21</f>
        <v>734.43686000795162</v>
      </c>
      <c r="AK69" s="69">
        <f>AK44/AK21</f>
        <v>737.85721272087085</v>
      </c>
      <c r="AL69" s="6"/>
    </row>
    <row r="70" spans="1:253" x14ac:dyDescent="0.3">
      <c r="X70" s="6" t="s">
        <v>280</v>
      </c>
      <c r="AK70" s="58"/>
    </row>
    <row r="72" spans="1:253" x14ac:dyDescent="0.3">
      <c r="B72" s="71" t="s">
        <v>141</v>
      </c>
      <c r="C72" s="257"/>
      <c r="D72" s="257"/>
      <c r="E72" s="35">
        <v>7262</v>
      </c>
      <c r="F72" s="35">
        <v>7182</v>
      </c>
      <c r="G72" s="35">
        <v>6595</v>
      </c>
      <c r="H72" s="35">
        <v>7308</v>
      </c>
      <c r="I72" s="35">
        <v>7359</v>
      </c>
      <c r="J72" s="35">
        <v>7314</v>
      </c>
      <c r="K72" s="35">
        <v>7350</v>
      </c>
      <c r="L72" s="35">
        <v>7286</v>
      </c>
      <c r="M72" s="70">
        <v>7220</v>
      </c>
      <c r="N72" s="35">
        <v>7138</v>
      </c>
      <c r="O72" s="35">
        <v>7190</v>
      </c>
      <c r="P72" s="35">
        <v>7132</v>
      </c>
      <c r="Q72" s="35">
        <v>7145</v>
      </c>
      <c r="R72" s="35">
        <v>7014</v>
      </c>
      <c r="S72" s="35">
        <v>7002</v>
      </c>
      <c r="T72" s="35">
        <v>7161</v>
      </c>
      <c r="U72" s="35">
        <v>7001</v>
      </c>
      <c r="V72" s="35">
        <v>7148</v>
      </c>
      <c r="W72" s="35">
        <v>7029</v>
      </c>
      <c r="X72" s="35">
        <v>7088</v>
      </c>
      <c r="Y72" s="35">
        <v>7002</v>
      </c>
      <c r="Z72" s="35">
        <v>7166</v>
      </c>
      <c r="AA72" s="35">
        <v>7229</v>
      </c>
      <c r="AB72" s="35">
        <v>7055</v>
      </c>
      <c r="AC72" s="35">
        <v>7046</v>
      </c>
      <c r="AD72" s="35">
        <v>7223</v>
      </c>
      <c r="AE72" s="35">
        <v>7294</v>
      </c>
      <c r="AF72" s="35">
        <v>7167</v>
      </c>
      <c r="AG72" s="35"/>
      <c r="AH72" s="35"/>
      <c r="AI72" s="35"/>
      <c r="AJ72" s="35">
        <f>SUM(E72:AI72)</f>
        <v>200106</v>
      </c>
      <c r="AK72" s="15">
        <f>AJ72/COUNTIF(E72:AI72,"&gt;0")</f>
        <v>7146.6428571428569</v>
      </c>
      <c r="AL72" s="260">
        <v>215141</v>
      </c>
    </row>
    <row r="73" spans="1:253" x14ac:dyDescent="0.3">
      <c r="B73" s="71" t="s">
        <v>142</v>
      </c>
      <c r="C73" s="257"/>
      <c r="D73" s="257"/>
      <c r="E73" s="35">
        <v>9002</v>
      </c>
      <c r="F73" s="35">
        <v>9307</v>
      </c>
      <c r="G73" s="35">
        <v>9171</v>
      </c>
      <c r="H73" s="35">
        <v>7545</v>
      </c>
      <c r="I73" s="35">
        <v>0</v>
      </c>
      <c r="J73" s="35">
        <v>0</v>
      </c>
      <c r="K73" s="35">
        <v>6137</v>
      </c>
      <c r="L73" s="35">
        <v>9002</v>
      </c>
      <c r="M73" s="35">
        <v>9147</v>
      </c>
      <c r="N73" s="35">
        <v>9213</v>
      </c>
      <c r="O73" s="35">
        <v>9205</v>
      </c>
      <c r="P73" s="35">
        <v>9003</v>
      </c>
      <c r="Q73" s="35">
        <v>8245</v>
      </c>
      <c r="R73" s="35">
        <v>9040</v>
      </c>
      <c r="S73" s="35">
        <v>9001</v>
      </c>
      <c r="T73" s="35">
        <v>9029</v>
      </c>
      <c r="U73" s="35">
        <v>8503</v>
      </c>
      <c r="V73" s="35">
        <v>9170</v>
      </c>
      <c r="W73" s="35">
        <v>9005</v>
      </c>
      <c r="X73" s="35">
        <v>9202</v>
      </c>
      <c r="Y73" s="35">
        <v>8854</v>
      </c>
      <c r="Z73" s="35">
        <v>8217</v>
      </c>
      <c r="AA73" s="35">
        <v>9001</v>
      </c>
      <c r="AB73" s="35">
        <v>8024</v>
      </c>
      <c r="AC73" s="35">
        <v>8564</v>
      </c>
      <c r="AD73" s="35">
        <v>9038</v>
      </c>
      <c r="AE73" s="35">
        <v>9045</v>
      </c>
      <c r="AF73" s="35">
        <v>7700</v>
      </c>
      <c r="AG73" s="35"/>
      <c r="AH73" s="35"/>
      <c r="AI73" s="35"/>
      <c r="AJ73" s="35">
        <f>SUM(E73:AI73)</f>
        <v>226370</v>
      </c>
      <c r="AK73" s="15">
        <f>AJ73/COUNTIF(E73:AI73,"&gt;0")</f>
        <v>8706.538461538461</v>
      </c>
      <c r="AL73" s="260">
        <v>259384</v>
      </c>
    </row>
    <row r="74" spans="1:253" x14ac:dyDescent="0.3">
      <c r="R74"/>
      <c r="S74"/>
      <c r="T74"/>
      <c r="U74"/>
      <c r="AJ74" s="72"/>
      <c r="AK74" s="15"/>
    </row>
    <row r="75" spans="1:253" x14ac:dyDescent="0.3">
      <c r="B75" s="71" t="s">
        <v>143</v>
      </c>
      <c r="C75" s="257"/>
      <c r="D75" s="257" t="s">
        <v>74</v>
      </c>
      <c r="E75" s="42">
        <v>0</v>
      </c>
      <c r="F75" s="42">
        <v>0</v>
      </c>
      <c r="G75" s="42">
        <v>136</v>
      </c>
      <c r="H75" s="42">
        <v>194</v>
      </c>
      <c r="I75" s="42">
        <v>0</v>
      </c>
      <c r="J75" s="42">
        <v>0</v>
      </c>
      <c r="K75" s="42">
        <v>0</v>
      </c>
      <c r="L75" s="42">
        <v>348</v>
      </c>
      <c r="M75" s="42">
        <v>410</v>
      </c>
      <c r="N75" s="42">
        <v>208</v>
      </c>
      <c r="O75" s="42">
        <v>0</v>
      </c>
      <c r="P75" s="42">
        <v>102</v>
      </c>
      <c r="Q75" s="52">
        <v>0</v>
      </c>
      <c r="R75" s="52">
        <v>0</v>
      </c>
      <c r="S75" s="52">
        <v>351</v>
      </c>
      <c r="T75" s="52">
        <v>289</v>
      </c>
      <c r="U75" s="52">
        <v>248</v>
      </c>
      <c r="V75" s="52">
        <v>201</v>
      </c>
      <c r="W75" s="42">
        <v>322</v>
      </c>
      <c r="X75" s="25">
        <v>238</v>
      </c>
      <c r="Y75" s="25">
        <v>249</v>
      </c>
      <c r="Z75" s="25">
        <v>212</v>
      </c>
      <c r="AA75" s="52">
        <v>167</v>
      </c>
      <c r="AB75" s="45">
        <v>0</v>
      </c>
      <c r="AC75" s="45">
        <v>0</v>
      </c>
      <c r="AD75" s="45">
        <v>0</v>
      </c>
      <c r="AE75" s="45">
        <v>0</v>
      </c>
      <c r="AF75" s="45">
        <v>0</v>
      </c>
      <c r="AG75" s="45"/>
      <c r="AH75" s="24"/>
      <c r="AI75" s="24"/>
      <c r="AJ75" s="35">
        <f>SUM(E75:AI75)</f>
        <v>3675</v>
      </c>
      <c r="AK75" s="73">
        <f>AJ75/COUNTIF(E75:AI75,"&gt;0")</f>
        <v>245</v>
      </c>
    </row>
    <row r="76" spans="1:253" x14ac:dyDescent="0.3">
      <c r="B76" s="71" t="s">
        <v>51</v>
      </c>
      <c r="C76" s="257"/>
      <c r="D76" s="257" t="s">
        <v>144</v>
      </c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4"/>
      <c r="X76" s="52"/>
      <c r="Y76" s="52"/>
      <c r="Z76" s="52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253" x14ac:dyDescent="0.3">
      <c r="B77" s="71" t="s">
        <v>145</v>
      </c>
      <c r="C77" s="257"/>
      <c r="D77" s="257" t="s">
        <v>146</v>
      </c>
      <c r="E77" s="25">
        <v>0</v>
      </c>
      <c r="F77" s="25">
        <v>0</v>
      </c>
      <c r="G77" s="25">
        <v>2805</v>
      </c>
      <c r="H77" s="25">
        <v>2747</v>
      </c>
      <c r="I77" s="25">
        <v>0</v>
      </c>
      <c r="J77" s="25">
        <v>0</v>
      </c>
      <c r="K77" s="25">
        <v>0</v>
      </c>
      <c r="L77" s="25">
        <v>2986</v>
      </c>
      <c r="M77" s="25">
        <v>3131</v>
      </c>
      <c r="N77" s="25">
        <v>3129</v>
      </c>
      <c r="O77" s="25">
        <v>0</v>
      </c>
      <c r="P77" s="25">
        <v>2882</v>
      </c>
      <c r="Q77" s="25">
        <v>0</v>
      </c>
      <c r="R77" s="25">
        <v>0</v>
      </c>
      <c r="S77" s="25">
        <v>2926</v>
      </c>
      <c r="T77" s="25">
        <v>2758</v>
      </c>
      <c r="U77" s="25">
        <v>2380</v>
      </c>
      <c r="V77" s="25">
        <v>2849</v>
      </c>
      <c r="W77" s="25">
        <v>2809</v>
      </c>
      <c r="X77" s="25">
        <v>2734</v>
      </c>
      <c r="Y77" s="25">
        <v>2765</v>
      </c>
      <c r="Z77" s="25">
        <v>2765</v>
      </c>
      <c r="AA77" s="25">
        <v>2647</v>
      </c>
      <c r="AB77" s="24">
        <v>0</v>
      </c>
      <c r="AC77" s="24">
        <v>0</v>
      </c>
      <c r="AD77" s="25">
        <v>0</v>
      </c>
      <c r="AE77" s="25">
        <v>0</v>
      </c>
      <c r="AF77" s="25">
        <v>0</v>
      </c>
      <c r="AG77" s="25"/>
      <c r="AH77" s="25"/>
      <c r="AI77" s="25"/>
      <c r="AJ77" s="38">
        <f>IFERROR(SUMPRODUCT(E77:AH77,E75:AH75)/AJ75,0)</f>
        <v>2841.0647619047618</v>
      </c>
    </row>
    <row r="78" spans="1:253" x14ac:dyDescent="0.3">
      <c r="E78" s="74"/>
      <c r="F78" s="74"/>
      <c r="G78" s="74"/>
      <c r="H78" s="74"/>
      <c r="I78" s="74"/>
      <c r="J78" s="74"/>
      <c r="K78" s="74"/>
      <c r="L78" s="74"/>
      <c r="M78" s="75"/>
      <c r="N78" s="74"/>
      <c r="O78" s="74"/>
      <c r="P78" s="74"/>
      <c r="Q78" s="74"/>
      <c r="R78" s="74"/>
      <c r="S78" s="74"/>
      <c r="T78" s="74"/>
      <c r="U78" s="76"/>
      <c r="V78" s="76"/>
      <c r="W78" s="76"/>
    </row>
    <row r="79" spans="1:253" x14ac:dyDescent="0.3">
      <c r="B79" s="71" t="s">
        <v>147</v>
      </c>
      <c r="C79" s="257"/>
      <c r="D79" s="257"/>
      <c r="E79" s="24">
        <v>1046</v>
      </c>
      <c r="F79" s="24">
        <v>0</v>
      </c>
      <c r="G79" s="24">
        <v>1480</v>
      </c>
      <c r="H79" s="24">
        <v>1716</v>
      </c>
      <c r="I79" s="24">
        <v>0</v>
      </c>
      <c r="J79" s="24">
        <v>1625</v>
      </c>
      <c r="K79" s="24">
        <v>4945</v>
      </c>
      <c r="L79" s="257">
        <v>0</v>
      </c>
      <c r="M79" s="257">
        <v>2900</v>
      </c>
      <c r="N79" s="24">
        <v>2756</v>
      </c>
      <c r="O79" s="25">
        <v>0</v>
      </c>
      <c r="P79" s="24">
        <v>2590</v>
      </c>
      <c r="Q79" s="24">
        <v>1840</v>
      </c>
      <c r="R79" s="24">
        <v>1825</v>
      </c>
      <c r="S79" s="24">
        <v>0</v>
      </c>
      <c r="T79" s="24">
        <v>2110</v>
      </c>
      <c r="U79" s="257">
        <v>1962</v>
      </c>
      <c r="V79" s="24">
        <v>0</v>
      </c>
      <c r="W79" s="24">
        <v>1475</v>
      </c>
      <c r="X79" s="24">
        <v>1045</v>
      </c>
      <c r="Y79" s="24">
        <v>4055</v>
      </c>
      <c r="Z79" s="24">
        <v>2635</v>
      </c>
      <c r="AA79" s="24">
        <v>0</v>
      </c>
      <c r="AB79" s="24">
        <v>0</v>
      </c>
      <c r="AC79" s="24">
        <v>4345</v>
      </c>
      <c r="AD79" s="24">
        <v>0</v>
      </c>
      <c r="AE79" s="24">
        <v>0</v>
      </c>
      <c r="AF79" s="24">
        <v>2440</v>
      </c>
      <c r="AG79" s="24"/>
      <c r="AH79" s="77"/>
      <c r="AI79" s="77"/>
      <c r="AJ79" s="78">
        <f t="shared" ref="AJ79:AJ86" si="49">SUM(E79:AI79)</f>
        <v>42790</v>
      </c>
      <c r="AK79" s="79"/>
      <c r="AL79" s="26">
        <f>AJ79-AK79</f>
        <v>42790</v>
      </c>
      <c r="AM79">
        <f>AL83/SUM(AL79:AL83)</f>
        <v>0.16049515730260622</v>
      </c>
      <c r="AN79" s="80">
        <f>(AJ79+AJ84)/$AJ$87</f>
        <v>0.49578013994978903</v>
      </c>
      <c r="AO79" s="80"/>
    </row>
    <row r="80" spans="1:253" x14ac:dyDescent="0.3">
      <c r="B80" s="71" t="s">
        <v>148</v>
      </c>
      <c r="C80" s="257"/>
      <c r="D80" s="257"/>
      <c r="E80" s="24">
        <v>2030</v>
      </c>
      <c r="F80" s="24">
        <v>2515</v>
      </c>
      <c r="G80" s="24">
        <v>2175</v>
      </c>
      <c r="H80" s="24">
        <v>3200</v>
      </c>
      <c r="I80" s="24">
        <v>1890</v>
      </c>
      <c r="J80" s="24">
        <v>3155</v>
      </c>
      <c r="K80" s="81">
        <v>0</v>
      </c>
      <c r="L80" s="257">
        <v>4554</v>
      </c>
      <c r="M80" s="257">
        <v>0</v>
      </c>
      <c r="N80" s="24">
        <v>1067</v>
      </c>
      <c r="O80" s="24">
        <v>3745</v>
      </c>
      <c r="P80" s="24">
        <v>2630</v>
      </c>
      <c r="Q80" s="24">
        <v>1205</v>
      </c>
      <c r="R80" s="24">
        <v>3310</v>
      </c>
      <c r="S80" s="24">
        <v>2409</v>
      </c>
      <c r="T80" s="24">
        <v>3100</v>
      </c>
      <c r="U80" s="257">
        <v>2445</v>
      </c>
      <c r="V80" s="24">
        <v>575</v>
      </c>
      <c r="W80" s="24">
        <v>4478</v>
      </c>
      <c r="X80" s="24">
        <v>4005</v>
      </c>
      <c r="Y80" s="24">
        <v>0</v>
      </c>
      <c r="Z80" s="24">
        <v>0</v>
      </c>
      <c r="AA80" s="24">
        <v>2105</v>
      </c>
      <c r="AB80" s="24">
        <v>5647</v>
      </c>
      <c r="AC80" s="24">
        <v>0</v>
      </c>
      <c r="AD80" s="24">
        <v>0</v>
      </c>
      <c r="AE80" s="24">
        <v>3320</v>
      </c>
      <c r="AF80" s="24">
        <v>0</v>
      </c>
      <c r="AG80" s="24"/>
      <c r="AH80" s="77"/>
      <c r="AI80" s="77"/>
      <c r="AJ80" s="78">
        <f t="shared" si="49"/>
        <v>59560</v>
      </c>
      <c r="AK80" s="79"/>
      <c r="AL80" s="26">
        <f t="shared" ref="AL80:AL85" si="50">AJ80-AK80</f>
        <v>59560</v>
      </c>
      <c r="AM80">
        <f>AL80/SUM(AL79:AL83)</f>
        <v>0.33774128427881234</v>
      </c>
      <c r="AN80" s="80">
        <f>(AJ80+AJ85)/$AJ$87</f>
        <v>0.25733515456286676</v>
      </c>
      <c r="AO80" s="80"/>
    </row>
    <row r="81" spans="2:41" x14ac:dyDescent="0.3">
      <c r="B81" s="71" t="s">
        <v>149</v>
      </c>
      <c r="C81" s="257"/>
      <c r="D81" s="257"/>
      <c r="E81" s="24">
        <v>0</v>
      </c>
      <c r="F81" s="24">
        <v>0</v>
      </c>
      <c r="G81" s="24">
        <v>0</v>
      </c>
      <c r="H81" s="24">
        <v>0</v>
      </c>
      <c r="I81" s="24">
        <v>1370</v>
      </c>
      <c r="J81" s="24">
        <v>2125</v>
      </c>
      <c r="K81" s="24">
        <v>0</v>
      </c>
      <c r="L81" s="257">
        <v>1882</v>
      </c>
      <c r="M81" s="257">
        <v>0</v>
      </c>
      <c r="N81" s="24">
        <v>0</v>
      </c>
      <c r="O81" s="24">
        <v>1475</v>
      </c>
      <c r="P81" s="24">
        <v>0</v>
      </c>
      <c r="Q81" s="24">
        <v>0</v>
      </c>
      <c r="R81" s="24">
        <v>0</v>
      </c>
      <c r="S81" s="24">
        <v>2219</v>
      </c>
      <c r="T81" s="24">
        <v>0</v>
      </c>
      <c r="U81" s="257">
        <v>0</v>
      </c>
      <c r="V81" s="24">
        <v>3141</v>
      </c>
      <c r="W81" s="24">
        <v>0</v>
      </c>
      <c r="X81" s="24">
        <v>0</v>
      </c>
      <c r="Y81" s="24">
        <v>1965</v>
      </c>
      <c r="Z81" s="24">
        <v>1887</v>
      </c>
      <c r="AA81" s="24">
        <v>0</v>
      </c>
      <c r="AB81" s="24">
        <v>745</v>
      </c>
      <c r="AC81" s="24">
        <v>0</v>
      </c>
      <c r="AD81" s="24">
        <v>0</v>
      </c>
      <c r="AE81" s="24">
        <v>0</v>
      </c>
      <c r="AF81" s="24">
        <v>0</v>
      </c>
      <c r="AG81" s="24"/>
      <c r="AH81" s="77"/>
      <c r="AI81" s="77"/>
      <c r="AJ81" s="78">
        <f t="shared" si="49"/>
        <v>16809</v>
      </c>
      <c r="AK81" s="82"/>
      <c r="AL81" s="26">
        <f t="shared" si="50"/>
        <v>16809</v>
      </c>
      <c r="AM81">
        <f>AL81/SUM(AL79:AL83)</f>
        <v>9.5317213691110764E-2</v>
      </c>
      <c r="AN81" s="80">
        <f>(AJ81)/$AJ$87</f>
        <v>3.2066739414103339E-2</v>
      </c>
      <c r="AO81" s="80"/>
    </row>
    <row r="82" spans="2:41" x14ac:dyDescent="0.3">
      <c r="B82" s="71" t="s">
        <v>150</v>
      </c>
      <c r="C82" s="257"/>
      <c r="D82" s="257"/>
      <c r="E82" s="24">
        <v>0</v>
      </c>
      <c r="F82" s="24">
        <v>0</v>
      </c>
      <c r="G82" s="24">
        <v>0</v>
      </c>
      <c r="H82" s="24">
        <v>3875</v>
      </c>
      <c r="I82" s="24">
        <v>0</v>
      </c>
      <c r="J82" s="24">
        <v>0</v>
      </c>
      <c r="K82" s="24">
        <v>0</v>
      </c>
      <c r="L82" s="257">
        <v>2142</v>
      </c>
      <c r="M82" s="257">
        <v>0</v>
      </c>
      <c r="N82" s="24">
        <v>1119</v>
      </c>
      <c r="O82" s="24">
        <v>0</v>
      </c>
      <c r="P82" s="24">
        <v>2615</v>
      </c>
      <c r="Q82" s="24">
        <v>0</v>
      </c>
      <c r="R82" s="24">
        <v>0</v>
      </c>
      <c r="S82" s="24">
        <v>2610</v>
      </c>
      <c r="T82" s="24">
        <v>0</v>
      </c>
      <c r="U82" s="257">
        <v>2290</v>
      </c>
      <c r="V82" s="24">
        <v>1595</v>
      </c>
      <c r="W82" s="24">
        <v>0</v>
      </c>
      <c r="X82" s="24">
        <v>2170</v>
      </c>
      <c r="Y82" s="24">
        <v>0</v>
      </c>
      <c r="Z82" s="24">
        <v>1049</v>
      </c>
      <c r="AA82" s="24">
        <v>3750</v>
      </c>
      <c r="AB82" s="24">
        <v>0</v>
      </c>
      <c r="AC82" s="24">
        <v>0</v>
      </c>
      <c r="AD82" s="24">
        <v>2565</v>
      </c>
      <c r="AE82" s="24">
        <v>0</v>
      </c>
      <c r="AF82" s="24">
        <v>3106</v>
      </c>
      <c r="AG82" s="24"/>
      <c r="AH82" s="24"/>
      <c r="AI82" s="24"/>
      <c r="AJ82" s="78">
        <f t="shared" si="49"/>
        <v>28886</v>
      </c>
      <c r="AK82" s="82"/>
      <c r="AL82" s="26">
        <f>AJ82-AK82</f>
        <v>28886</v>
      </c>
      <c r="AM82">
        <f>AL86/SUM(AL82:AL86)</f>
        <v>0.13681983265395811</v>
      </c>
      <c r="AN82" s="80">
        <f>(AJ82)/$AJ$87</f>
        <v>5.5106183277755308E-2</v>
      </c>
      <c r="AO82" s="80"/>
    </row>
    <row r="83" spans="2:41" x14ac:dyDescent="0.3">
      <c r="B83" s="71" t="s">
        <v>151</v>
      </c>
      <c r="C83" s="257"/>
      <c r="D83" s="257"/>
      <c r="E83" s="24">
        <v>1248</v>
      </c>
      <c r="F83" s="24">
        <v>2393</v>
      </c>
      <c r="G83" s="24">
        <v>2740</v>
      </c>
      <c r="H83" s="24">
        <v>0</v>
      </c>
      <c r="I83" s="24">
        <v>2260</v>
      </c>
      <c r="J83" s="24">
        <v>0</v>
      </c>
      <c r="K83" s="24">
        <v>1485</v>
      </c>
      <c r="L83" s="257">
        <v>0</v>
      </c>
      <c r="M83" s="257">
        <v>1630</v>
      </c>
      <c r="N83" s="24">
        <v>1868</v>
      </c>
      <c r="O83" s="24">
        <v>620</v>
      </c>
      <c r="P83" s="24">
        <v>0</v>
      </c>
      <c r="Q83" s="24">
        <v>0</v>
      </c>
      <c r="R83" s="24">
        <v>833</v>
      </c>
      <c r="S83" s="24">
        <v>1505</v>
      </c>
      <c r="T83" s="24">
        <v>1695</v>
      </c>
      <c r="U83" s="257">
        <v>0</v>
      </c>
      <c r="V83" s="24">
        <v>2401</v>
      </c>
      <c r="W83" s="24">
        <v>0</v>
      </c>
      <c r="X83" s="24">
        <v>0</v>
      </c>
      <c r="Y83" s="24">
        <v>1995</v>
      </c>
      <c r="Z83" s="24">
        <v>0</v>
      </c>
      <c r="AA83" s="24">
        <v>0</v>
      </c>
      <c r="AB83" s="24">
        <v>0</v>
      </c>
      <c r="AC83" s="24">
        <v>1405</v>
      </c>
      <c r="AD83" s="24">
        <v>2045</v>
      </c>
      <c r="AE83" s="24">
        <v>1395</v>
      </c>
      <c r="AF83" s="6">
        <v>785</v>
      </c>
      <c r="AG83" s="24"/>
      <c r="AH83" s="77"/>
      <c r="AI83" s="77"/>
      <c r="AJ83" s="78">
        <f t="shared" si="49"/>
        <v>28303</v>
      </c>
      <c r="AK83" s="82"/>
      <c r="AL83" s="26">
        <f t="shared" si="50"/>
        <v>28303</v>
      </c>
      <c r="AM83">
        <f>AL87/SUM(AL83:AL87)</f>
        <v>0</v>
      </c>
      <c r="AN83" s="80">
        <f>(AJ83+AJ88)/$AJ$87</f>
        <v>5.3995894602699795E-2</v>
      </c>
      <c r="AO83" s="80"/>
    </row>
    <row r="84" spans="2:41" x14ac:dyDescent="0.3">
      <c r="B84" s="71" t="s">
        <v>152</v>
      </c>
      <c r="C84" s="257"/>
      <c r="D84" s="257"/>
      <c r="E84" s="24">
        <v>8160</v>
      </c>
      <c r="F84" s="24">
        <v>6491</v>
      </c>
      <c r="G84" s="24">
        <v>9918</v>
      </c>
      <c r="H84" s="24">
        <v>7745</v>
      </c>
      <c r="I84" s="24">
        <v>4132</v>
      </c>
      <c r="J84" s="24">
        <v>7161</v>
      </c>
      <c r="K84" s="24">
        <v>8027</v>
      </c>
      <c r="L84" s="24">
        <v>8844</v>
      </c>
      <c r="M84" s="257">
        <v>7326</v>
      </c>
      <c r="N84" s="24">
        <v>8667</v>
      </c>
      <c r="O84" s="24">
        <v>7680</v>
      </c>
      <c r="P84" s="24">
        <v>9443</v>
      </c>
      <c r="Q84" s="24">
        <v>7405</v>
      </c>
      <c r="R84" s="24">
        <v>7499</v>
      </c>
      <c r="S84" s="24">
        <v>7931</v>
      </c>
      <c r="T84" s="24">
        <v>7610</v>
      </c>
      <c r="U84" s="257">
        <v>9106</v>
      </c>
      <c r="V84" s="24">
        <v>7320</v>
      </c>
      <c r="W84" s="24">
        <v>6391</v>
      </c>
      <c r="X84" s="24">
        <v>9116</v>
      </c>
      <c r="Y84" s="24">
        <v>7320</v>
      </c>
      <c r="Z84" s="24">
        <v>10770</v>
      </c>
      <c r="AA84" s="24">
        <v>7515</v>
      </c>
      <c r="AB84" s="24">
        <v>7370</v>
      </c>
      <c r="AC84" s="24">
        <v>6760</v>
      </c>
      <c r="AD84" s="24">
        <v>7105</v>
      </c>
      <c r="AE84" s="24">
        <v>7110</v>
      </c>
      <c r="AF84" s="24">
        <v>7170</v>
      </c>
      <c r="AG84" s="24"/>
      <c r="AH84" s="77"/>
      <c r="AI84" s="77"/>
      <c r="AJ84" s="78">
        <f t="shared" si="49"/>
        <v>217092</v>
      </c>
      <c r="AK84" s="79"/>
      <c r="AL84" s="26">
        <f t="shared" si="50"/>
        <v>217092</v>
      </c>
      <c r="AN84" s="80">
        <f>(AJ83+AJ86)/$AJ$87</f>
        <v>0.15971178279548559</v>
      </c>
    </row>
    <row r="85" spans="2:41" x14ac:dyDescent="0.3">
      <c r="B85" s="71" t="s">
        <v>153</v>
      </c>
      <c r="C85" s="257"/>
      <c r="D85" s="257"/>
      <c r="E85" s="24">
        <v>2371</v>
      </c>
      <c r="F85" s="24">
        <v>1950</v>
      </c>
      <c r="G85" s="24">
        <v>0</v>
      </c>
      <c r="H85" s="24">
        <v>0</v>
      </c>
      <c r="I85" s="24">
        <v>3315</v>
      </c>
      <c r="J85" s="24">
        <v>3380</v>
      </c>
      <c r="K85" s="24">
        <v>3991</v>
      </c>
      <c r="L85" s="24">
        <v>4114</v>
      </c>
      <c r="M85" s="257">
        <v>4696</v>
      </c>
      <c r="N85" s="24">
        <v>1321</v>
      </c>
      <c r="O85" s="24">
        <v>3973</v>
      </c>
      <c r="P85" s="24">
        <v>1025</v>
      </c>
      <c r="Q85" s="24">
        <v>3665</v>
      </c>
      <c r="R85" s="24">
        <v>5280</v>
      </c>
      <c r="S85" s="24">
        <v>0</v>
      </c>
      <c r="T85" s="24">
        <v>1892</v>
      </c>
      <c r="U85" s="257">
        <v>2910</v>
      </c>
      <c r="V85" s="24">
        <v>3635</v>
      </c>
      <c r="W85" s="24">
        <v>3941</v>
      </c>
      <c r="X85" s="24">
        <v>0</v>
      </c>
      <c r="Y85" s="24">
        <v>4325</v>
      </c>
      <c r="Z85" s="24">
        <v>2054</v>
      </c>
      <c r="AA85" s="24">
        <v>1191</v>
      </c>
      <c r="AB85" s="24">
        <v>7210</v>
      </c>
      <c r="AC85" s="24">
        <v>3650</v>
      </c>
      <c r="AD85" s="24">
        <v>0</v>
      </c>
      <c r="AE85" s="24">
        <v>3311</v>
      </c>
      <c r="AF85" s="24">
        <v>2132</v>
      </c>
      <c r="AG85" s="24"/>
      <c r="AH85" s="77"/>
      <c r="AI85" s="77"/>
      <c r="AJ85" s="78">
        <f t="shared" si="49"/>
        <v>75332</v>
      </c>
      <c r="AK85" s="79"/>
      <c r="AL85" s="26">
        <f t="shared" si="50"/>
        <v>75332</v>
      </c>
      <c r="AN85" s="80">
        <f>(AL83+AL86)/AJ87</f>
        <v>0.15971178279548559</v>
      </c>
    </row>
    <row r="86" spans="2:41" x14ac:dyDescent="0.3">
      <c r="B86" s="71" t="s">
        <v>154</v>
      </c>
      <c r="C86" s="257"/>
      <c r="D86" s="257"/>
      <c r="E86" s="24">
        <v>3147</v>
      </c>
      <c r="F86" s="24">
        <v>3505</v>
      </c>
      <c r="G86" s="24">
        <v>0</v>
      </c>
      <c r="H86" s="24">
        <v>0</v>
      </c>
      <c r="I86" s="24">
        <v>770</v>
      </c>
      <c r="J86" s="24">
        <v>2150</v>
      </c>
      <c r="K86" s="24">
        <v>1336</v>
      </c>
      <c r="L86" s="24">
        <v>1478</v>
      </c>
      <c r="M86" s="257">
        <v>2005</v>
      </c>
      <c r="N86" s="24">
        <v>2614</v>
      </c>
      <c r="O86" s="24">
        <v>2636</v>
      </c>
      <c r="P86" s="24">
        <v>1800</v>
      </c>
      <c r="Q86" s="24">
        <v>2250</v>
      </c>
      <c r="R86" s="24">
        <v>0</v>
      </c>
      <c r="S86" s="24">
        <v>3080</v>
      </c>
      <c r="T86" s="24">
        <v>3632</v>
      </c>
      <c r="U86" s="257">
        <v>2000</v>
      </c>
      <c r="V86" s="24">
        <v>2170</v>
      </c>
      <c r="W86" s="24">
        <v>0</v>
      </c>
      <c r="X86" s="24">
        <v>3298</v>
      </c>
      <c r="Y86" s="24">
        <v>1460</v>
      </c>
      <c r="Z86" s="24">
        <v>0</v>
      </c>
      <c r="AA86" s="24">
        <v>4350</v>
      </c>
      <c r="AB86" s="24">
        <v>0</v>
      </c>
      <c r="AC86" s="24">
        <v>2930</v>
      </c>
      <c r="AD86" s="24">
        <v>2510</v>
      </c>
      <c r="AE86" s="24">
        <v>2265</v>
      </c>
      <c r="AF86" s="24">
        <v>4030</v>
      </c>
      <c r="AG86" s="24"/>
      <c r="AH86" s="77"/>
      <c r="AI86" s="77"/>
      <c r="AJ86" s="78">
        <f t="shared" si="49"/>
        <v>55416</v>
      </c>
      <c r="AK86" s="79"/>
      <c r="AL86" s="26">
        <f>AJ86-AK86</f>
        <v>55416</v>
      </c>
      <c r="AN86" s="80"/>
      <c r="AO86" s="80"/>
    </row>
    <row r="87" spans="2:41" x14ac:dyDescent="0.3">
      <c r="B87" s="83" t="s">
        <v>155</v>
      </c>
      <c r="C87" s="84"/>
      <c r="D87" s="84"/>
      <c r="E87" s="85">
        <f>SUM(E79:E86)</f>
        <v>18002</v>
      </c>
      <c r="F87" s="85">
        <f t="shared" ref="F87:AH87" si="51">SUM(F79:F86)</f>
        <v>16854</v>
      </c>
      <c r="G87" s="85">
        <f t="shared" si="51"/>
        <v>16313</v>
      </c>
      <c r="H87" s="85">
        <f t="shared" si="51"/>
        <v>16536</v>
      </c>
      <c r="I87" s="85">
        <f t="shared" si="51"/>
        <v>13737</v>
      </c>
      <c r="J87" s="85">
        <f t="shared" si="51"/>
        <v>19596</v>
      </c>
      <c r="K87" s="85">
        <f>SUM(K79:K86)</f>
        <v>19784</v>
      </c>
      <c r="L87" s="85">
        <f t="shared" si="51"/>
        <v>23014</v>
      </c>
      <c r="M87" s="85">
        <f t="shared" si="51"/>
        <v>18557</v>
      </c>
      <c r="N87" s="85">
        <f t="shared" si="51"/>
        <v>19412</v>
      </c>
      <c r="O87" s="85">
        <f t="shared" si="51"/>
        <v>20129</v>
      </c>
      <c r="P87" s="85">
        <f t="shared" si="51"/>
        <v>20103</v>
      </c>
      <c r="Q87" s="85">
        <f t="shared" si="51"/>
        <v>16365</v>
      </c>
      <c r="R87" s="85">
        <f t="shared" si="51"/>
        <v>18747</v>
      </c>
      <c r="S87" s="85">
        <f t="shared" si="51"/>
        <v>19754</v>
      </c>
      <c r="T87" s="85">
        <f t="shared" si="51"/>
        <v>20039</v>
      </c>
      <c r="U87" s="85">
        <f t="shared" si="51"/>
        <v>20713</v>
      </c>
      <c r="V87" s="85">
        <f t="shared" si="51"/>
        <v>20837</v>
      </c>
      <c r="W87" s="85">
        <f t="shared" si="51"/>
        <v>16285</v>
      </c>
      <c r="X87" s="85">
        <f t="shared" si="51"/>
        <v>19634</v>
      </c>
      <c r="Y87" s="85">
        <f t="shared" si="51"/>
        <v>21120</v>
      </c>
      <c r="Z87" s="85">
        <f t="shared" si="51"/>
        <v>18395</v>
      </c>
      <c r="AA87" s="85">
        <f t="shared" si="51"/>
        <v>18911</v>
      </c>
      <c r="AB87" s="85">
        <f t="shared" si="51"/>
        <v>20972</v>
      </c>
      <c r="AC87" s="85">
        <f t="shared" si="51"/>
        <v>19090</v>
      </c>
      <c r="AD87" s="85">
        <f t="shared" si="51"/>
        <v>14225</v>
      </c>
      <c r="AE87" s="85">
        <f t="shared" si="51"/>
        <v>17401</v>
      </c>
      <c r="AF87" s="85">
        <f t="shared" si="51"/>
        <v>19663</v>
      </c>
      <c r="AG87" s="85">
        <f t="shared" si="51"/>
        <v>0</v>
      </c>
      <c r="AH87" s="85">
        <f t="shared" si="51"/>
        <v>0</v>
      </c>
      <c r="AI87" s="85"/>
      <c r="AJ87" s="78">
        <f>SUM(E87:AI87)</f>
        <v>524188</v>
      </c>
      <c r="AK87" s="86"/>
      <c r="AL87" s="26"/>
    </row>
    <row r="88" spans="2:41" x14ac:dyDescent="0.3">
      <c r="E88" s="24" t="b">
        <f>IF(SUM(E3,E7,E39,E82)=E87, TRUE, FALSE)</f>
        <v>1</v>
      </c>
      <c r="F88" s="24" t="b">
        <f>IF(SUM(F3,F7,F39,F82)=F87, TRUE, FALSE)</f>
        <v>1</v>
      </c>
      <c r="G88" s="24" t="b">
        <f>IF(SUM(G3,G7,G39,G82)=G87, TRUE, FALSE)</f>
        <v>1</v>
      </c>
      <c r="H88" s="24" t="b">
        <f>IF(SUM(H3,H7,H39,H82)=H87, TRUE, FALSE)</f>
        <v>1</v>
      </c>
      <c r="I88" s="24" t="b">
        <f t="shared" ref="I88:R88" si="52">IF((I3+I7+I39+I82)=I87,TRUE,FALSE)</f>
        <v>1</v>
      </c>
      <c r="J88" s="24" t="b">
        <f t="shared" si="52"/>
        <v>1</v>
      </c>
      <c r="K88" s="24" t="b">
        <f t="shared" si="52"/>
        <v>1</v>
      </c>
      <c r="L88" s="24" t="b">
        <f t="shared" si="52"/>
        <v>1</v>
      </c>
      <c r="M88" s="257" t="b">
        <f t="shared" si="52"/>
        <v>1</v>
      </c>
      <c r="N88" s="24" t="b">
        <f t="shared" si="52"/>
        <v>1</v>
      </c>
      <c r="O88" s="24" t="b">
        <f t="shared" si="52"/>
        <v>1</v>
      </c>
      <c r="P88" s="24" t="b">
        <f t="shared" si="52"/>
        <v>1</v>
      </c>
      <c r="Q88" s="24" t="b">
        <f t="shared" si="52"/>
        <v>1</v>
      </c>
      <c r="R88" s="24" t="b">
        <f t="shared" si="52"/>
        <v>1</v>
      </c>
      <c r="S88" s="24" t="b">
        <v>1</v>
      </c>
      <c r="T88" s="24" t="b">
        <v>1</v>
      </c>
      <c r="U88" s="24" t="b">
        <v>1</v>
      </c>
      <c r="V88" s="24" t="b">
        <f t="shared" ref="V88:AH88" si="53">IF((V3+V7+V39+V82)=V87,TRUE,FALSE)</f>
        <v>1</v>
      </c>
      <c r="W88" s="24" t="b">
        <f t="shared" si="53"/>
        <v>1</v>
      </c>
      <c r="X88" s="24" t="b">
        <f t="shared" si="53"/>
        <v>1</v>
      </c>
      <c r="Y88" s="24" t="b">
        <f t="shared" si="53"/>
        <v>1</v>
      </c>
      <c r="Z88" s="24" t="b">
        <f t="shared" si="53"/>
        <v>1</v>
      </c>
      <c r="AA88" s="24" t="b">
        <f t="shared" si="53"/>
        <v>1</v>
      </c>
      <c r="AB88" s="24" t="b">
        <f t="shared" si="53"/>
        <v>1</v>
      </c>
      <c r="AC88" s="24" t="b">
        <f t="shared" si="53"/>
        <v>1</v>
      </c>
      <c r="AD88" s="24" t="b">
        <f t="shared" si="53"/>
        <v>1</v>
      </c>
      <c r="AE88" s="24" t="b">
        <f t="shared" si="53"/>
        <v>1</v>
      </c>
      <c r="AF88" s="24" t="b">
        <f t="shared" si="53"/>
        <v>1</v>
      </c>
      <c r="AG88" s="24" t="b">
        <f t="shared" si="53"/>
        <v>1</v>
      </c>
      <c r="AH88" s="24" t="b">
        <f t="shared" si="53"/>
        <v>1</v>
      </c>
      <c r="AI88" s="24"/>
      <c r="AJ88" s="24" t="b">
        <f>IF((AJ3+AJ7+AJ39+AJ82)=AJ87,TRUE,FALSE)</f>
        <v>1</v>
      </c>
      <c r="AK88" s="26"/>
      <c r="AL88" s="26"/>
    </row>
    <row r="89" spans="2:41" ht="15.6" x14ac:dyDescent="0.3">
      <c r="B89" s="87" t="s">
        <v>156</v>
      </c>
      <c r="E89" s="24"/>
      <c r="F89" s="24"/>
      <c r="G89" s="24"/>
      <c r="H89" s="24"/>
      <c r="I89" s="24"/>
      <c r="J89" s="24"/>
      <c r="K89" s="24"/>
      <c r="L89" s="24"/>
      <c r="M89" s="257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77"/>
      <c r="AI89" s="77"/>
      <c r="AJ89" s="24"/>
      <c r="AK89" s="26"/>
      <c r="AL89" s="26"/>
    </row>
    <row r="90" spans="2:41" x14ac:dyDescent="0.3">
      <c r="B90" s="71" t="s">
        <v>147</v>
      </c>
      <c r="C90" s="257"/>
      <c r="D90" s="257"/>
      <c r="E90" s="24">
        <v>357</v>
      </c>
      <c r="F90" s="24">
        <v>0</v>
      </c>
      <c r="G90" s="24">
        <v>503</v>
      </c>
      <c r="H90" s="24">
        <v>584</v>
      </c>
      <c r="I90" s="24">
        <v>0</v>
      </c>
      <c r="J90" s="24">
        <v>554</v>
      </c>
      <c r="K90" s="24">
        <v>1719</v>
      </c>
      <c r="L90" s="24">
        <v>0</v>
      </c>
      <c r="M90" s="257">
        <v>987</v>
      </c>
      <c r="N90" s="24">
        <v>938</v>
      </c>
      <c r="O90" s="25">
        <v>0</v>
      </c>
      <c r="P90" s="24">
        <v>891</v>
      </c>
      <c r="Q90" s="24">
        <v>626</v>
      </c>
      <c r="R90" s="24">
        <v>635</v>
      </c>
      <c r="S90" s="24">
        <v>0</v>
      </c>
      <c r="T90" s="24">
        <v>718</v>
      </c>
      <c r="U90" s="257">
        <v>654</v>
      </c>
      <c r="V90" s="24">
        <v>0</v>
      </c>
      <c r="W90" s="24">
        <v>503</v>
      </c>
      <c r="X90" s="24">
        <v>357</v>
      </c>
      <c r="Y90" s="24">
        <v>1381</v>
      </c>
      <c r="Z90" s="24">
        <v>906</v>
      </c>
      <c r="AA90" s="24">
        <v>0</v>
      </c>
      <c r="AB90" s="24">
        <v>0</v>
      </c>
      <c r="AC90" s="24">
        <v>1479</v>
      </c>
      <c r="AD90" s="24">
        <v>0</v>
      </c>
      <c r="AE90" s="24">
        <v>0</v>
      </c>
      <c r="AF90" s="24">
        <v>831</v>
      </c>
      <c r="AG90" s="24"/>
      <c r="AH90" s="77"/>
      <c r="AI90" s="77"/>
      <c r="AJ90" s="366">
        <f t="shared" ref="AJ90:AJ97" si="54">SUM(E90:AI90)</f>
        <v>14623</v>
      </c>
      <c r="AK90" s="79"/>
      <c r="AL90" s="26">
        <f t="shared" ref="AL90:AL97" si="55">AJ90-AK90</f>
        <v>14623</v>
      </c>
      <c r="AN90" s="80"/>
      <c r="AO90" s="50"/>
    </row>
    <row r="91" spans="2:41" x14ac:dyDescent="0.3">
      <c r="B91" s="71" t="s">
        <v>148</v>
      </c>
      <c r="C91" s="257"/>
      <c r="D91" s="257"/>
      <c r="E91" s="24">
        <v>692</v>
      </c>
      <c r="F91" s="24">
        <v>860</v>
      </c>
      <c r="G91" s="24">
        <v>740</v>
      </c>
      <c r="H91" s="24">
        <v>1089</v>
      </c>
      <c r="I91" s="24">
        <v>645</v>
      </c>
      <c r="J91" s="24">
        <v>1076</v>
      </c>
      <c r="K91" s="24">
        <v>0</v>
      </c>
      <c r="L91" s="24">
        <v>1549</v>
      </c>
      <c r="M91" s="257">
        <v>0</v>
      </c>
      <c r="N91" s="24">
        <v>363</v>
      </c>
      <c r="O91" s="24">
        <v>1276</v>
      </c>
      <c r="P91" s="24">
        <v>905</v>
      </c>
      <c r="Q91" s="24">
        <v>410</v>
      </c>
      <c r="R91" s="24">
        <v>1151</v>
      </c>
      <c r="S91" s="24">
        <v>822</v>
      </c>
      <c r="T91" s="24">
        <v>1056</v>
      </c>
      <c r="U91" s="257">
        <v>815</v>
      </c>
      <c r="V91" s="24">
        <v>196</v>
      </c>
      <c r="W91" s="24">
        <v>1528</v>
      </c>
      <c r="X91" s="24">
        <v>1368</v>
      </c>
      <c r="Y91" s="24">
        <v>0</v>
      </c>
      <c r="Z91" s="24">
        <v>0</v>
      </c>
      <c r="AA91" s="24">
        <v>716</v>
      </c>
      <c r="AB91" s="24">
        <v>1812</v>
      </c>
      <c r="AC91" s="24">
        <v>0</v>
      </c>
      <c r="AD91" s="24">
        <v>0</v>
      </c>
      <c r="AE91" s="24">
        <v>1146</v>
      </c>
      <c r="AF91" s="24">
        <v>0</v>
      </c>
      <c r="AG91" s="24"/>
      <c r="AH91" s="77"/>
      <c r="AI91" s="77"/>
      <c r="AJ91" s="366">
        <f t="shared" si="54"/>
        <v>20215</v>
      </c>
      <c r="AK91" s="79"/>
      <c r="AL91" s="26">
        <f t="shared" si="55"/>
        <v>20215</v>
      </c>
      <c r="AN91" s="80"/>
      <c r="AO91" s="50"/>
    </row>
    <row r="92" spans="2:41" x14ac:dyDescent="0.3">
      <c r="B92" s="71" t="s">
        <v>149</v>
      </c>
      <c r="C92" s="257"/>
      <c r="D92" s="257"/>
      <c r="E92" s="24">
        <v>0</v>
      </c>
      <c r="F92" s="24">
        <v>0</v>
      </c>
      <c r="G92" s="24">
        <v>0</v>
      </c>
      <c r="H92" s="24">
        <v>0</v>
      </c>
      <c r="I92" s="24">
        <v>388</v>
      </c>
      <c r="J92" s="24">
        <v>586</v>
      </c>
      <c r="K92" s="24">
        <v>0</v>
      </c>
      <c r="L92" s="24">
        <v>531</v>
      </c>
      <c r="M92" s="257">
        <v>0</v>
      </c>
      <c r="N92" s="24">
        <v>0</v>
      </c>
      <c r="O92" s="24">
        <v>398</v>
      </c>
      <c r="P92" s="24">
        <v>0</v>
      </c>
      <c r="Q92" s="24">
        <v>0</v>
      </c>
      <c r="R92" s="24">
        <v>0</v>
      </c>
      <c r="S92" s="24">
        <v>624</v>
      </c>
      <c r="T92" s="24">
        <v>0</v>
      </c>
      <c r="U92" s="257">
        <v>0</v>
      </c>
      <c r="V92" s="24">
        <v>877</v>
      </c>
      <c r="W92" s="24">
        <v>0</v>
      </c>
      <c r="X92" s="24">
        <v>0</v>
      </c>
      <c r="Y92" s="24">
        <v>541</v>
      </c>
      <c r="Z92" s="24">
        <v>535</v>
      </c>
      <c r="AA92" s="24">
        <v>0</v>
      </c>
      <c r="AB92" s="24">
        <v>205</v>
      </c>
      <c r="AC92" s="24">
        <v>0</v>
      </c>
      <c r="AD92" s="24">
        <v>0</v>
      </c>
      <c r="AE92" s="24">
        <v>0</v>
      </c>
      <c r="AF92" s="24">
        <v>0</v>
      </c>
      <c r="AG92" s="24"/>
      <c r="AH92" s="77"/>
      <c r="AI92" s="77"/>
      <c r="AJ92" s="366">
        <f t="shared" si="54"/>
        <v>4685</v>
      </c>
      <c r="AK92" s="79"/>
      <c r="AL92" s="26">
        <f t="shared" si="55"/>
        <v>4685</v>
      </c>
      <c r="AN92" s="80"/>
      <c r="AO92" s="50"/>
    </row>
    <row r="93" spans="2:41" x14ac:dyDescent="0.3">
      <c r="B93" s="71" t="s">
        <v>150</v>
      </c>
      <c r="C93" s="257"/>
      <c r="D93" s="257"/>
      <c r="E93" s="24">
        <v>0</v>
      </c>
      <c r="F93" s="24">
        <v>0</v>
      </c>
      <c r="G93" s="24">
        <v>0</v>
      </c>
      <c r="H93" s="24">
        <v>1164</v>
      </c>
      <c r="I93" s="24">
        <v>0</v>
      </c>
      <c r="J93" s="24">
        <v>0</v>
      </c>
      <c r="K93" s="24">
        <v>0</v>
      </c>
      <c r="L93" s="24">
        <v>644</v>
      </c>
      <c r="M93" s="257">
        <v>0</v>
      </c>
      <c r="N93" s="24">
        <v>337</v>
      </c>
      <c r="O93" s="24">
        <v>0</v>
      </c>
      <c r="P93" s="24">
        <v>791</v>
      </c>
      <c r="Q93" s="24">
        <v>0</v>
      </c>
      <c r="R93" s="24">
        <v>0</v>
      </c>
      <c r="S93" s="24">
        <v>784</v>
      </c>
      <c r="T93" s="24">
        <v>0</v>
      </c>
      <c r="U93" s="257">
        <v>677</v>
      </c>
      <c r="V93" s="24">
        <v>486</v>
      </c>
      <c r="W93" s="24">
        <v>0</v>
      </c>
      <c r="X93" s="24">
        <v>655</v>
      </c>
      <c r="Y93" s="24">
        <v>0</v>
      </c>
      <c r="Z93" s="24">
        <v>323</v>
      </c>
      <c r="AA93" s="24">
        <v>1129</v>
      </c>
      <c r="AB93" s="24">
        <v>0</v>
      </c>
      <c r="AC93" s="24">
        <v>0</v>
      </c>
      <c r="AD93" s="24">
        <v>792</v>
      </c>
      <c r="AE93" s="24">
        <v>0</v>
      </c>
      <c r="AF93" s="24">
        <v>937</v>
      </c>
      <c r="AG93" s="24"/>
      <c r="AH93" s="24"/>
      <c r="AI93" s="24"/>
      <c r="AJ93" s="78">
        <f t="shared" si="54"/>
        <v>8719</v>
      </c>
      <c r="AK93" s="79"/>
      <c r="AL93" s="26">
        <f t="shared" si="55"/>
        <v>8719</v>
      </c>
      <c r="AN93" s="80"/>
      <c r="AO93" s="50"/>
    </row>
    <row r="94" spans="2:41" x14ac:dyDescent="0.3">
      <c r="B94" s="71" t="s">
        <v>152</v>
      </c>
      <c r="C94" s="257"/>
      <c r="D94" s="257"/>
      <c r="E94" s="24">
        <v>2777</v>
      </c>
      <c r="F94" s="24">
        <v>2178</v>
      </c>
      <c r="G94" s="24">
        <v>3092</v>
      </c>
      <c r="H94" s="24">
        <v>2606</v>
      </c>
      <c r="I94" s="24">
        <v>1283</v>
      </c>
      <c r="J94" s="24">
        <v>2256</v>
      </c>
      <c r="K94" s="24">
        <v>2693</v>
      </c>
      <c r="L94" s="24">
        <v>2793</v>
      </c>
      <c r="M94" s="257">
        <v>2404</v>
      </c>
      <c r="N94" s="24">
        <v>2864</v>
      </c>
      <c r="O94" s="24">
        <v>2538</v>
      </c>
      <c r="P94" s="24">
        <v>3213</v>
      </c>
      <c r="Q94" s="24">
        <v>2445</v>
      </c>
      <c r="R94" s="24">
        <v>2513</v>
      </c>
      <c r="S94" s="24">
        <v>2611</v>
      </c>
      <c r="T94" s="24">
        <v>2491</v>
      </c>
      <c r="U94" s="257">
        <v>2889</v>
      </c>
      <c r="V94" s="24">
        <v>2495</v>
      </c>
      <c r="W94" s="24">
        <v>2050</v>
      </c>
      <c r="X94" s="24">
        <v>3074</v>
      </c>
      <c r="Y94" s="24">
        <v>2390</v>
      </c>
      <c r="Z94" s="24">
        <v>3693</v>
      </c>
      <c r="AA94" s="24">
        <v>2330</v>
      </c>
      <c r="AB94" s="24">
        <v>2333</v>
      </c>
      <c r="AC94" s="24">
        <v>2174</v>
      </c>
      <c r="AD94" s="24">
        <v>2385</v>
      </c>
      <c r="AE94" s="24">
        <v>2458</v>
      </c>
      <c r="AF94" s="24">
        <v>2440</v>
      </c>
      <c r="AG94" s="24"/>
      <c r="AH94" s="77"/>
      <c r="AI94" s="77"/>
      <c r="AJ94" s="366">
        <f t="shared" si="54"/>
        <v>71468</v>
      </c>
      <c r="AK94" s="79"/>
      <c r="AL94" s="26">
        <f t="shared" si="55"/>
        <v>71468</v>
      </c>
      <c r="AN94" s="80"/>
      <c r="AO94" s="50"/>
    </row>
    <row r="95" spans="2:41" x14ac:dyDescent="0.3">
      <c r="B95" s="71" t="s">
        <v>153</v>
      </c>
      <c r="C95" s="257"/>
      <c r="D95" s="257"/>
      <c r="E95" s="24">
        <v>806</v>
      </c>
      <c r="F95" s="24">
        <v>654</v>
      </c>
      <c r="G95" s="24">
        <v>0</v>
      </c>
      <c r="H95" s="24">
        <v>0</v>
      </c>
      <c r="I95" s="24">
        <v>1029</v>
      </c>
      <c r="J95" s="24">
        <v>1065</v>
      </c>
      <c r="K95" s="24">
        <v>1339</v>
      </c>
      <c r="L95" s="24">
        <v>1298</v>
      </c>
      <c r="M95" s="257">
        <v>1541</v>
      </c>
      <c r="N95" s="24">
        <v>436</v>
      </c>
      <c r="O95" s="24">
        <v>1313</v>
      </c>
      <c r="P95" s="24">
        <v>349</v>
      </c>
      <c r="Q95" s="24">
        <v>1210</v>
      </c>
      <c r="R95" s="24">
        <v>1769</v>
      </c>
      <c r="S95" s="24">
        <v>0</v>
      </c>
      <c r="T95" s="24">
        <v>619</v>
      </c>
      <c r="U95" s="257">
        <v>923</v>
      </c>
      <c r="V95" s="24">
        <v>1239</v>
      </c>
      <c r="W95" s="24">
        <v>1264</v>
      </c>
      <c r="X95" s="24">
        <v>0</v>
      </c>
      <c r="Y95" s="24">
        <v>1412</v>
      </c>
      <c r="Z95" s="24">
        <v>703</v>
      </c>
      <c r="AA95" s="24">
        <v>369</v>
      </c>
      <c r="AB95" s="24">
        <v>2282</v>
      </c>
      <c r="AC95" s="24">
        <v>1174</v>
      </c>
      <c r="AD95" s="24">
        <v>0</v>
      </c>
      <c r="AE95" s="24">
        <v>1145</v>
      </c>
      <c r="AF95" s="24">
        <v>726</v>
      </c>
      <c r="AG95" s="24"/>
      <c r="AH95" s="77"/>
      <c r="AI95" s="77"/>
      <c r="AJ95" s="366">
        <f t="shared" si="54"/>
        <v>24665</v>
      </c>
      <c r="AK95" s="79"/>
      <c r="AL95" s="26">
        <f t="shared" si="55"/>
        <v>24665</v>
      </c>
      <c r="AN95" s="80"/>
      <c r="AO95" s="50"/>
    </row>
    <row r="96" spans="2:41" s="20" customFormat="1" x14ac:dyDescent="0.3">
      <c r="B96" s="44" t="s">
        <v>157</v>
      </c>
      <c r="C96" s="191"/>
      <c r="D96" s="191"/>
      <c r="E96" s="78">
        <v>61</v>
      </c>
      <c r="F96" s="78">
        <v>117</v>
      </c>
      <c r="G96" s="78">
        <v>134</v>
      </c>
      <c r="H96" s="78">
        <v>0</v>
      </c>
      <c r="I96" s="78">
        <v>111</v>
      </c>
      <c r="J96" s="78">
        <v>0</v>
      </c>
      <c r="K96" s="78">
        <v>73</v>
      </c>
      <c r="L96" s="78">
        <v>0</v>
      </c>
      <c r="M96" s="191">
        <v>80</v>
      </c>
      <c r="N96" s="78">
        <v>92</v>
      </c>
      <c r="O96" s="78">
        <v>30</v>
      </c>
      <c r="P96" s="78">
        <v>0</v>
      </c>
      <c r="Q96" s="78">
        <v>0</v>
      </c>
      <c r="R96" s="78">
        <v>41</v>
      </c>
      <c r="S96" s="78">
        <v>74</v>
      </c>
      <c r="T96" s="78">
        <v>83</v>
      </c>
      <c r="U96" s="191">
        <v>0</v>
      </c>
      <c r="V96" s="78">
        <v>118</v>
      </c>
      <c r="W96" s="78">
        <v>0</v>
      </c>
      <c r="X96" s="78">
        <v>0</v>
      </c>
      <c r="Y96" s="78">
        <v>98</v>
      </c>
      <c r="Z96" s="78">
        <v>0</v>
      </c>
      <c r="AA96" s="78">
        <v>0</v>
      </c>
      <c r="AB96" s="78">
        <v>0</v>
      </c>
      <c r="AC96" s="78">
        <v>69</v>
      </c>
      <c r="AD96" s="78">
        <v>100</v>
      </c>
      <c r="AE96" s="78">
        <v>68</v>
      </c>
      <c r="AF96" s="78">
        <v>38</v>
      </c>
      <c r="AG96" s="78"/>
      <c r="AH96" s="88"/>
      <c r="AI96" s="88"/>
      <c r="AJ96" s="78">
        <f t="shared" si="54"/>
        <v>1387</v>
      </c>
      <c r="AK96" s="82"/>
      <c r="AL96" s="44">
        <f t="shared" si="55"/>
        <v>1387</v>
      </c>
      <c r="AN96" s="89"/>
      <c r="AO96" s="261"/>
    </row>
    <row r="97" spans="1:41" s="20" customFormat="1" x14ac:dyDescent="0.3">
      <c r="B97" s="44" t="s">
        <v>158</v>
      </c>
      <c r="C97" s="191"/>
      <c r="D97" s="191"/>
      <c r="E97" s="78">
        <v>154</v>
      </c>
      <c r="F97" s="78">
        <v>172</v>
      </c>
      <c r="G97" s="78">
        <v>0</v>
      </c>
      <c r="H97" s="78">
        <v>0</v>
      </c>
      <c r="I97" s="78">
        <v>38</v>
      </c>
      <c r="J97" s="78">
        <v>105</v>
      </c>
      <c r="K97" s="78">
        <v>65</v>
      </c>
      <c r="L97" s="78">
        <v>72</v>
      </c>
      <c r="M97" s="191">
        <v>98</v>
      </c>
      <c r="N97" s="78">
        <v>128</v>
      </c>
      <c r="O97" s="78">
        <v>129</v>
      </c>
      <c r="P97" s="78">
        <v>88</v>
      </c>
      <c r="Q97" s="78">
        <v>110</v>
      </c>
      <c r="R97" s="78">
        <v>0</v>
      </c>
      <c r="S97" s="78">
        <v>151</v>
      </c>
      <c r="T97" s="78">
        <v>178</v>
      </c>
      <c r="U97" s="191">
        <v>98</v>
      </c>
      <c r="V97" s="78">
        <v>106</v>
      </c>
      <c r="W97" s="78">
        <v>0</v>
      </c>
      <c r="X97" s="78">
        <v>162</v>
      </c>
      <c r="Y97" s="78">
        <v>72</v>
      </c>
      <c r="Z97" s="78">
        <v>0</v>
      </c>
      <c r="AA97" s="78">
        <v>213</v>
      </c>
      <c r="AB97" s="78">
        <v>0</v>
      </c>
      <c r="AC97" s="78">
        <v>144</v>
      </c>
      <c r="AD97" s="78">
        <v>123</v>
      </c>
      <c r="AE97" s="78">
        <v>111</v>
      </c>
      <c r="AF97" s="78">
        <v>197</v>
      </c>
      <c r="AG97" s="78"/>
      <c r="AH97" s="88"/>
      <c r="AI97" s="88"/>
      <c r="AJ97" s="78">
        <f t="shared" si="54"/>
        <v>2714</v>
      </c>
      <c r="AK97" s="82"/>
      <c r="AL97" s="44">
        <f t="shared" si="55"/>
        <v>2714</v>
      </c>
      <c r="AN97" s="89"/>
      <c r="AO97" s="261"/>
    </row>
    <row r="98" spans="1:41" x14ac:dyDescent="0.3">
      <c r="E98" s="6" t="b">
        <f t="shared" ref="E98:AH98" si="56">IF((SUM(E90:E95)=(E123+E124+E125+E126)), TRUE, FALSE)</f>
        <v>1</v>
      </c>
      <c r="F98" s="6" t="b">
        <f t="shared" si="56"/>
        <v>1</v>
      </c>
      <c r="G98" s="6" t="b">
        <f>IF((SUM(G90:G95)=(G123+G124+G125+G126)), TRUE, FALSE)</f>
        <v>1</v>
      </c>
      <c r="H98" s="6" t="b">
        <f t="shared" si="56"/>
        <v>1</v>
      </c>
      <c r="I98" s="6" t="b">
        <f>IF((SUM(I90:I95)=(I123+I124+I125+I126)), TRUE, FALSE)</f>
        <v>1</v>
      </c>
      <c r="J98" s="6" t="b">
        <f t="shared" si="56"/>
        <v>1</v>
      </c>
      <c r="K98" s="6" t="b">
        <f t="shared" si="56"/>
        <v>1</v>
      </c>
      <c r="L98" s="6" t="b">
        <f t="shared" si="56"/>
        <v>1</v>
      </c>
      <c r="M98" s="6" t="b">
        <f t="shared" si="56"/>
        <v>1</v>
      </c>
      <c r="N98" s="6" t="b">
        <f t="shared" si="56"/>
        <v>1</v>
      </c>
      <c r="O98" s="6" t="b">
        <f>IF((SUM(O90:O95)=(O123+O124+O125+O126)), TRUE, FALSE)</f>
        <v>1</v>
      </c>
      <c r="P98" s="6" t="b">
        <f>IF((SUM(P90:P95)=(P123+P124+P125+P126)), TRUE, FALSE)</f>
        <v>1</v>
      </c>
      <c r="Q98" s="6" t="b">
        <f>IF((SUM(Q90:Q95)=(Q123+Q124+Q125+Q126)), TRUE, FALSE)</f>
        <v>1</v>
      </c>
      <c r="R98" s="6" t="b">
        <f>IF((SUM(R90:R95)=(R123+R124+R125+R126)), TRUE, FALSE)</f>
        <v>1</v>
      </c>
      <c r="S98" s="6" t="b">
        <f>IF((SUM(S90:S95)=(S123+S124+S125+S126)), TRUE, FALSE)</f>
        <v>1</v>
      </c>
      <c r="T98" s="6" t="b">
        <f t="shared" si="56"/>
        <v>1</v>
      </c>
      <c r="U98" s="6" t="b">
        <f t="shared" si="56"/>
        <v>1</v>
      </c>
      <c r="V98" s="6" t="b">
        <f t="shared" si="56"/>
        <v>1</v>
      </c>
      <c r="W98" s="6" t="b">
        <f t="shared" si="56"/>
        <v>1</v>
      </c>
      <c r="X98" s="6" t="b">
        <f t="shared" si="56"/>
        <v>1</v>
      </c>
      <c r="Y98" s="6" t="b">
        <f t="shared" si="56"/>
        <v>1</v>
      </c>
      <c r="Z98" s="6" t="b">
        <f t="shared" si="56"/>
        <v>1</v>
      </c>
      <c r="AA98" s="6" t="b">
        <f t="shared" si="56"/>
        <v>1</v>
      </c>
      <c r="AB98" s="6" t="b">
        <f t="shared" si="56"/>
        <v>1</v>
      </c>
      <c r="AC98" s="6" t="b">
        <f t="shared" si="56"/>
        <v>1</v>
      </c>
      <c r="AD98" s="6" t="b">
        <f t="shared" si="56"/>
        <v>1</v>
      </c>
      <c r="AE98" s="6" t="b">
        <f t="shared" si="56"/>
        <v>1</v>
      </c>
      <c r="AF98" s="6" t="b">
        <f t="shared" si="56"/>
        <v>1</v>
      </c>
      <c r="AG98" s="6" t="b">
        <f t="shared" si="56"/>
        <v>1</v>
      </c>
      <c r="AH98" s="6" t="b">
        <f t="shared" si="56"/>
        <v>1</v>
      </c>
      <c r="AJ98" s="6" t="b">
        <f>IF((SUM(AJ90:AJ95)=(AJ123+AJ124+AJ125+AJ126)), TRUE, FALSE)</f>
        <v>1</v>
      </c>
    </row>
    <row r="99" spans="1:41" x14ac:dyDescent="0.3">
      <c r="A99" s="90" t="s">
        <v>159</v>
      </c>
      <c r="B99" s="91"/>
      <c r="C99" s="92"/>
      <c r="D99" s="92"/>
      <c r="E99" s="93"/>
      <c r="F99" s="93"/>
      <c r="G99" s="94">
        <f>G97/G87</f>
        <v>0</v>
      </c>
      <c r="H99" s="93"/>
      <c r="I99" s="93">
        <v>0</v>
      </c>
      <c r="J99" s="93"/>
      <c r="K99" s="93"/>
      <c r="L99" s="93"/>
      <c r="M99" s="9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1"/>
      <c r="AL99" s="91"/>
    </row>
    <row r="100" spans="1:41" x14ac:dyDescent="0.3">
      <c r="A100" s="26"/>
      <c r="B100" s="95" t="s">
        <v>160</v>
      </c>
      <c r="C100" s="96"/>
      <c r="D100" s="96"/>
      <c r="E100" s="97"/>
      <c r="F100" s="97"/>
      <c r="G100" s="97"/>
      <c r="H100" s="97"/>
      <c r="I100" s="97"/>
      <c r="J100" s="97"/>
      <c r="K100" s="97"/>
      <c r="L100" s="97"/>
      <c r="M100" s="97"/>
      <c r="N100" s="96"/>
      <c r="O100" s="96"/>
      <c r="P100" s="96"/>
      <c r="Q100" s="96"/>
      <c r="R100" s="96"/>
      <c r="S100" s="96"/>
      <c r="T100" s="96"/>
      <c r="U100" s="96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8">
        <f>SUM(E100:AH100)</f>
        <v>0</v>
      </c>
      <c r="AK100" s="99"/>
      <c r="AL100" s="99"/>
    </row>
    <row r="101" spans="1:41" x14ac:dyDescent="0.3">
      <c r="A101" s="26"/>
      <c r="B101" s="71" t="s">
        <v>161</v>
      </c>
      <c r="C101" s="257"/>
      <c r="D101" s="257"/>
      <c r="E101" s="257">
        <v>0</v>
      </c>
      <c r="F101" s="100">
        <v>56.48</v>
      </c>
      <c r="G101" s="100">
        <v>0</v>
      </c>
      <c r="H101" s="24">
        <v>0</v>
      </c>
      <c r="I101" s="24">
        <v>82.18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31.99</v>
      </c>
      <c r="P101" s="24">
        <v>0</v>
      </c>
      <c r="Q101" s="101">
        <v>33.01</v>
      </c>
      <c r="R101" s="257">
        <v>0</v>
      </c>
      <c r="S101" s="257">
        <v>0</v>
      </c>
      <c r="T101" s="257">
        <v>121.41</v>
      </c>
      <c r="U101" s="257">
        <v>0</v>
      </c>
      <c r="V101" s="257">
        <v>0</v>
      </c>
      <c r="W101" s="100">
        <v>39.630000000000003</v>
      </c>
      <c r="X101" s="257">
        <v>18.38</v>
      </c>
      <c r="Y101" s="257">
        <v>0</v>
      </c>
      <c r="Z101" s="257">
        <v>0</v>
      </c>
      <c r="AA101" s="102">
        <v>34.619999999999997</v>
      </c>
      <c r="AB101" s="257">
        <v>0</v>
      </c>
      <c r="AC101" s="257">
        <v>0</v>
      </c>
      <c r="AD101" s="257">
        <v>134.87</v>
      </c>
      <c r="AE101" s="257">
        <v>0</v>
      </c>
      <c r="AF101" s="24">
        <v>31.24</v>
      </c>
      <c r="AG101" s="24"/>
      <c r="AH101" s="24"/>
      <c r="AI101" s="24"/>
      <c r="AJ101" s="38">
        <f>SUM(E101:AI101)</f>
        <v>583.80999999999995</v>
      </c>
      <c r="AK101" s="26" t="s">
        <v>162</v>
      </c>
      <c r="AL101" s="103">
        <f>AJ101/COUNTIF(E101:AI101,"&gt;-1")</f>
        <v>20.850357142857142</v>
      </c>
    </row>
    <row r="102" spans="1:41" x14ac:dyDescent="0.3">
      <c r="A102" s="26"/>
      <c r="B102" s="71" t="s">
        <v>163</v>
      </c>
      <c r="C102" s="257"/>
      <c r="D102" s="257"/>
      <c r="E102" s="24">
        <v>0</v>
      </c>
      <c r="F102" s="24">
        <v>962</v>
      </c>
      <c r="G102" s="24">
        <v>0</v>
      </c>
      <c r="H102" s="24">
        <v>0</v>
      </c>
      <c r="I102" s="24">
        <v>282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692</v>
      </c>
      <c r="P102" s="24">
        <v>0</v>
      </c>
      <c r="Q102" s="257">
        <v>580</v>
      </c>
      <c r="R102" s="24">
        <v>0</v>
      </c>
      <c r="S102" s="24">
        <v>0</v>
      </c>
      <c r="T102" s="24">
        <v>245</v>
      </c>
      <c r="U102" s="24">
        <v>0</v>
      </c>
      <c r="V102" s="24">
        <v>0</v>
      </c>
      <c r="W102" s="104">
        <v>333</v>
      </c>
      <c r="X102" s="24">
        <v>262</v>
      </c>
      <c r="Y102" s="24">
        <v>0</v>
      </c>
      <c r="Z102" s="24">
        <v>0</v>
      </c>
      <c r="AA102" s="105">
        <v>377</v>
      </c>
      <c r="AB102" s="24">
        <v>0</v>
      </c>
      <c r="AC102" s="24">
        <v>0</v>
      </c>
      <c r="AD102" s="24">
        <v>1075</v>
      </c>
      <c r="AE102" s="24">
        <v>0</v>
      </c>
      <c r="AF102" s="24">
        <v>118</v>
      </c>
      <c r="AG102" s="24"/>
      <c r="AH102" s="24"/>
      <c r="AI102" s="24"/>
      <c r="AJ102" s="38">
        <f>SUMPRODUCT(E102:AH102,E101:AH101)/AJ101</f>
        <v>562.29340025008139</v>
      </c>
      <c r="AK102" s="26"/>
      <c r="AL102" s="26"/>
    </row>
    <row r="103" spans="1:41" x14ac:dyDescent="0.3">
      <c r="A103" s="106" t="s">
        <v>164</v>
      </c>
      <c r="R103"/>
      <c r="S103"/>
      <c r="T103"/>
      <c r="U103"/>
      <c r="AJ103" s="107"/>
      <c r="AN103" s="73"/>
      <c r="AO103" s="73"/>
    </row>
    <row r="104" spans="1:41" x14ac:dyDescent="0.3">
      <c r="A104" s="26"/>
      <c r="B104" s="71" t="s">
        <v>160</v>
      </c>
      <c r="C104" s="257"/>
      <c r="D104" s="257"/>
      <c r="E104" s="24"/>
      <c r="F104" s="24"/>
      <c r="G104" s="24"/>
      <c r="H104" s="24"/>
      <c r="I104" s="24"/>
      <c r="J104" s="24"/>
      <c r="K104" s="24"/>
      <c r="L104" s="24"/>
      <c r="M104" s="24"/>
      <c r="N104" s="257"/>
      <c r="O104" s="257"/>
      <c r="P104" s="257"/>
      <c r="Q104" s="257"/>
      <c r="R104" s="257"/>
      <c r="S104" s="257"/>
      <c r="T104" s="257"/>
      <c r="U104" s="257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38">
        <f>SUM(E104:AH104)</f>
        <v>0</v>
      </c>
      <c r="AK104" s="26"/>
      <c r="AL104" s="26"/>
    </row>
    <row r="105" spans="1:41" x14ac:dyDescent="0.3">
      <c r="A105" s="26"/>
      <c r="B105" s="71" t="s">
        <v>161</v>
      </c>
      <c r="C105" s="257"/>
      <c r="D105" s="257"/>
      <c r="E105" s="257">
        <v>0</v>
      </c>
      <c r="F105" s="100">
        <v>50.73</v>
      </c>
      <c r="G105" s="100">
        <v>32.770000000000003</v>
      </c>
      <c r="H105" s="100">
        <v>0</v>
      </c>
      <c r="I105" s="100">
        <v>0</v>
      </c>
      <c r="J105" s="24">
        <v>0</v>
      </c>
      <c r="K105" s="24">
        <v>23.01</v>
      </c>
      <c r="L105" s="24">
        <v>0</v>
      </c>
      <c r="M105" s="24">
        <v>48</v>
      </c>
      <c r="N105" s="24">
        <v>0</v>
      </c>
      <c r="O105" s="24">
        <v>31.72</v>
      </c>
      <c r="P105" s="24">
        <v>0</v>
      </c>
      <c r="Q105" s="101">
        <v>27.23</v>
      </c>
      <c r="R105" s="100">
        <v>0</v>
      </c>
      <c r="S105" s="100">
        <v>0</v>
      </c>
      <c r="T105" s="100">
        <v>33.03</v>
      </c>
      <c r="U105" s="100">
        <v>25.72</v>
      </c>
      <c r="V105" s="100">
        <v>0</v>
      </c>
      <c r="W105" s="100">
        <v>53.27</v>
      </c>
      <c r="X105" s="24">
        <v>22.74</v>
      </c>
      <c r="Y105" s="24">
        <v>23.74</v>
      </c>
      <c r="Z105" s="24">
        <v>0</v>
      </c>
      <c r="AA105" s="257">
        <v>24.69</v>
      </c>
      <c r="AB105" s="257">
        <v>0</v>
      </c>
      <c r="AC105" s="257">
        <v>0</v>
      </c>
      <c r="AD105" s="257">
        <v>61.21</v>
      </c>
      <c r="AE105" s="25">
        <v>0</v>
      </c>
      <c r="AF105" s="24">
        <v>22.06</v>
      </c>
      <c r="AG105" s="24"/>
      <c r="AH105" s="25"/>
      <c r="AI105" s="27"/>
      <c r="AJ105" s="25">
        <f>SUM(E105:AI105)</f>
        <v>479.91999999999996</v>
      </c>
      <c r="AK105" s="26" t="s">
        <v>162</v>
      </c>
      <c r="AL105" s="103">
        <f>AJ105/COUNTIF(E105:AH105,"&gt;-1")</f>
        <v>17.139999999999997</v>
      </c>
    </row>
    <row r="106" spans="1:41" x14ac:dyDescent="0.3">
      <c r="A106" s="26"/>
      <c r="B106" s="71" t="s">
        <v>165</v>
      </c>
      <c r="C106" s="257"/>
      <c r="D106" s="257"/>
      <c r="E106" s="24">
        <v>0</v>
      </c>
      <c r="F106" s="24">
        <v>962</v>
      </c>
      <c r="G106" s="24">
        <v>2877</v>
      </c>
      <c r="H106" s="24">
        <v>0</v>
      </c>
      <c r="I106" s="24">
        <v>0</v>
      </c>
      <c r="J106" s="24">
        <v>0</v>
      </c>
      <c r="K106" s="24">
        <v>2624</v>
      </c>
      <c r="L106" s="24">
        <v>0</v>
      </c>
      <c r="M106" s="24">
        <v>388</v>
      </c>
      <c r="N106" s="24">
        <v>0</v>
      </c>
      <c r="O106" s="24">
        <v>692</v>
      </c>
      <c r="P106" s="24">
        <v>0</v>
      </c>
      <c r="Q106" s="24">
        <v>580</v>
      </c>
      <c r="R106" s="24">
        <v>0</v>
      </c>
      <c r="S106" s="24">
        <v>0</v>
      </c>
      <c r="T106" s="24">
        <v>245</v>
      </c>
      <c r="U106" s="108">
        <v>2571</v>
      </c>
      <c r="V106" s="108">
        <v>0</v>
      </c>
      <c r="W106" s="104">
        <v>333</v>
      </c>
      <c r="X106" s="24">
        <v>262</v>
      </c>
      <c r="Y106" s="24">
        <v>2369</v>
      </c>
      <c r="Z106" s="24">
        <v>0</v>
      </c>
      <c r="AA106" s="24">
        <v>377</v>
      </c>
      <c r="AB106" s="24">
        <v>0</v>
      </c>
      <c r="AC106" s="24">
        <v>0</v>
      </c>
      <c r="AD106" s="24">
        <v>1075</v>
      </c>
      <c r="AE106" s="24">
        <v>0</v>
      </c>
      <c r="AF106" s="24">
        <v>118</v>
      </c>
      <c r="AG106" s="24"/>
      <c r="AH106" s="24"/>
      <c r="AI106" s="24"/>
      <c r="AJ106" s="38">
        <f>IFERROR(SUMPRODUCT(E106:AH106,E105:AH105)/AJ105,0)</f>
        <v>1024.534734955826</v>
      </c>
      <c r="AK106" s="26"/>
      <c r="AL106" s="26"/>
    </row>
    <row r="107" spans="1:41" x14ac:dyDescent="0.3">
      <c r="N107" s="109"/>
      <c r="O107"/>
      <c r="P107"/>
      <c r="Q107"/>
      <c r="R107"/>
      <c r="S107"/>
      <c r="T107"/>
      <c r="U107"/>
    </row>
    <row r="108" spans="1:41" x14ac:dyDescent="0.3">
      <c r="B108" s="110" t="s">
        <v>35</v>
      </c>
      <c r="N108" s="111"/>
      <c r="O108" s="76"/>
      <c r="P108"/>
      <c r="R108"/>
      <c r="S108"/>
      <c r="T108"/>
      <c r="U108"/>
    </row>
    <row r="109" spans="1:41" x14ac:dyDescent="0.3">
      <c r="B109" s="112" t="s">
        <v>166</v>
      </c>
      <c r="C109" s="5" t="s">
        <v>167</v>
      </c>
      <c r="E109" s="113">
        <v>0.03</v>
      </c>
      <c r="F109" s="113">
        <v>0</v>
      </c>
      <c r="G109" s="113">
        <v>0.13</v>
      </c>
      <c r="H109" s="113">
        <v>0.08</v>
      </c>
      <c r="I109" s="113">
        <v>0.05</v>
      </c>
      <c r="J109" s="113">
        <v>0</v>
      </c>
      <c r="K109" s="113">
        <v>0.01</v>
      </c>
      <c r="L109" s="113">
        <v>0</v>
      </c>
      <c r="M109" s="114">
        <v>0.16</v>
      </c>
      <c r="N109" s="113">
        <v>0.04</v>
      </c>
      <c r="O109" s="113">
        <v>0.04</v>
      </c>
      <c r="P109" s="113">
        <v>0.03</v>
      </c>
      <c r="Q109" s="113">
        <v>0.02</v>
      </c>
      <c r="R109" s="113">
        <v>0.05</v>
      </c>
      <c r="S109" s="113">
        <v>0.01</v>
      </c>
      <c r="T109" s="113">
        <v>0</v>
      </c>
      <c r="U109" s="113">
        <v>0.08</v>
      </c>
      <c r="V109" s="113">
        <v>0.05</v>
      </c>
      <c r="W109" s="113">
        <v>0.01</v>
      </c>
      <c r="X109" s="113">
        <v>0</v>
      </c>
      <c r="Y109" s="113">
        <v>0</v>
      </c>
      <c r="Z109" s="113">
        <v>0</v>
      </c>
      <c r="AA109" s="113">
        <v>0.11</v>
      </c>
      <c r="AB109" s="113">
        <v>0</v>
      </c>
      <c r="AC109" s="113">
        <v>0</v>
      </c>
      <c r="AD109" s="113">
        <v>0</v>
      </c>
      <c r="AE109" s="113">
        <v>0.05</v>
      </c>
      <c r="AF109" s="113">
        <v>0.04</v>
      </c>
      <c r="AG109" s="113"/>
      <c r="AH109" s="113"/>
      <c r="AI109" s="113"/>
      <c r="AJ109" s="113">
        <f>SUMPRODUCT(E109:AH109,$E$113:$AH$113)/SUM($E$113:$AH$113)</f>
        <v>3.747118881658263E-2</v>
      </c>
    </row>
    <row r="110" spans="1:41" x14ac:dyDescent="0.3">
      <c r="B110" s="112" t="s">
        <v>27</v>
      </c>
      <c r="C110" s="5" t="s">
        <v>167</v>
      </c>
      <c r="E110" s="113">
        <v>0.03</v>
      </c>
      <c r="F110" s="113">
        <v>7.0000000000000007E-2</v>
      </c>
      <c r="G110" s="113">
        <v>7.0000000000000007E-2</v>
      </c>
      <c r="H110" s="113">
        <v>0.06</v>
      </c>
      <c r="I110" s="113">
        <v>0</v>
      </c>
      <c r="J110" s="113">
        <v>0.1</v>
      </c>
      <c r="K110" s="113">
        <v>0</v>
      </c>
      <c r="L110" s="113">
        <v>0.04</v>
      </c>
      <c r="M110" s="114">
        <v>0.05</v>
      </c>
      <c r="N110" s="113">
        <v>0.05</v>
      </c>
      <c r="O110" s="113">
        <v>0.06</v>
      </c>
      <c r="P110" s="113">
        <v>0.02</v>
      </c>
      <c r="Q110" s="113">
        <v>0.03</v>
      </c>
      <c r="R110" s="113">
        <v>0.03</v>
      </c>
      <c r="S110" s="113">
        <v>0.04</v>
      </c>
      <c r="T110" s="113">
        <v>7.0000000000000007E-2</v>
      </c>
      <c r="U110" s="113">
        <v>0.09</v>
      </c>
      <c r="V110" s="113">
        <v>7.0000000000000007E-2</v>
      </c>
      <c r="W110" s="113">
        <v>0.08</v>
      </c>
      <c r="X110" s="113">
        <v>0.09</v>
      </c>
      <c r="Y110" s="113">
        <v>0.24</v>
      </c>
      <c r="Z110" s="113">
        <v>0.08</v>
      </c>
      <c r="AA110" s="113">
        <v>7.0000000000000007E-2</v>
      </c>
      <c r="AB110" s="113">
        <v>0.05</v>
      </c>
      <c r="AC110" s="113">
        <v>0.11</v>
      </c>
      <c r="AD110" s="113">
        <v>0.12</v>
      </c>
      <c r="AE110" s="113">
        <v>0.01</v>
      </c>
      <c r="AF110" s="113">
        <v>0.11</v>
      </c>
      <c r="AG110" s="113"/>
      <c r="AH110" s="113"/>
      <c r="AI110" s="113"/>
      <c r="AJ110" s="113">
        <f>SUMPRODUCT(E110:AH110,$E$113:$AH$113)/SUM($E$113:$AH$113)</f>
        <v>6.7023372564274972E-2</v>
      </c>
    </row>
    <row r="111" spans="1:41" x14ac:dyDescent="0.3">
      <c r="B111" s="112" t="s">
        <v>168</v>
      </c>
      <c r="C111" s="5" t="s">
        <v>167</v>
      </c>
      <c r="E111" s="113">
        <v>0.05</v>
      </c>
      <c r="F111" s="113">
        <v>0.04</v>
      </c>
      <c r="G111" s="113">
        <v>0.01</v>
      </c>
      <c r="H111" s="113">
        <v>0</v>
      </c>
      <c r="I111" s="113">
        <v>0</v>
      </c>
      <c r="J111" s="113">
        <v>0</v>
      </c>
      <c r="K111" s="113">
        <v>0</v>
      </c>
      <c r="L111" s="113">
        <v>0.01</v>
      </c>
      <c r="M111" s="114">
        <v>0</v>
      </c>
      <c r="N111" s="113">
        <v>0</v>
      </c>
      <c r="O111" s="113">
        <v>0.03</v>
      </c>
      <c r="P111" s="113">
        <v>0</v>
      </c>
      <c r="Q111" s="113">
        <v>0</v>
      </c>
      <c r="R111" s="113">
        <v>0</v>
      </c>
      <c r="S111" s="113">
        <v>0</v>
      </c>
      <c r="T111" s="113">
        <v>0</v>
      </c>
      <c r="U111" s="113">
        <v>0</v>
      </c>
      <c r="V111" s="113">
        <v>0</v>
      </c>
      <c r="W111" s="113">
        <v>0.01</v>
      </c>
      <c r="X111" s="113">
        <v>0.1</v>
      </c>
      <c r="Y111" s="113">
        <v>0</v>
      </c>
      <c r="Z111" s="113">
        <v>0.06</v>
      </c>
      <c r="AA111" s="113">
        <v>0.12</v>
      </c>
      <c r="AB111" s="113">
        <v>0</v>
      </c>
      <c r="AC111" s="113">
        <v>0.1</v>
      </c>
      <c r="AD111" s="113">
        <v>0.01</v>
      </c>
      <c r="AE111" s="113">
        <v>0</v>
      </c>
      <c r="AF111" s="113">
        <v>0.1</v>
      </c>
      <c r="AG111" s="113"/>
      <c r="AH111" s="113"/>
      <c r="AI111" s="113"/>
      <c r="AJ111" s="113">
        <f>SUMPRODUCT(E111:AH111,$E$113:$AH$113)/SUM($E$113:$AH$113)</f>
        <v>2.4542232089110522E-2</v>
      </c>
    </row>
    <row r="112" spans="1:41" x14ac:dyDescent="0.3">
      <c r="B112" s="112" t="s">
        <v>169</v>
      </c>
      <c r="C112" s="5" t="s">
        <v>167</v>
      </c>
      <c r="E112" s="35">
        <v>20070</v>
      </c>
      <c r="F112" s="35">
        <v>19623</v>
      </c>
      <c r="G112" s="35">
        <v>18204</v>
      </c>
      <c r="H112" s="35">
        <v>22007</v>
      </c>
      <c r="I112" s="35">
        <v>22544</v>
      </c>
      <c r="J112" s="35">
        <v>5811</v>
      </c>
      <c r="K112" s="35">
        <v>19544</v>
      </c>
      <c r="L112" s="35">
        <v>11716</v>
      </c>
      <c r="M112" s="70">
        <v>19202</v>
      </c>
      <c r="N112" s="35">
        <v>19101</v>
      </c>
      <c r="O112" s="35">
        <v>21142</v>
      </c>
      <c r="P112" s="35">
        <v>25825</v>
      </c>
      <c r="Q112" s="35">
        <v>22816</v>
      </c>
      <c r="R112" s="35">
        <v>20065</v>
      </c>
      <c r="S112" s="35">
        <v>26494</v>
      </c>
      <c r="T112" s="35">
        <v>15583</v>
      </c>
      <c r="U112" s="35">
        <v>18568</v>
      </c>
      <c r="V112" s="35">
        <v>22020</v>
      </c>
      <c r="W112" s="35">
        <v>21037</v>
      </c>
      <c r="X112" s="35">
        <v>18310</v>
      </c>
      <c r="Y112" s="35">
        <v>20462</v>
      </c>
      <c r="Z112" s="35">
        <v>23592</v>
      </c>
      <c r="AA112" s="35">
        <v>14972</v>
      </c>
      <c r="AB112" s="35">
        <v>20636</v>
      </c>
      <c r="AC112" s="35">
        <v>19633</v>
      </c>
      <c r="AD112" s="35">
        <v>19935</v>
      </c>
      <c r="AE112" s="35">
        <v>18909</v>
      </c>
      <c r="AF112" s="35">
        <v>21414</v>
      </c>
      <c r="AG112" s="35"/>
      <c r="AH112" s="35"/>
      <c r="AI112" s="35"/>
      <c r="AJ112" s="24"/>
    </row>
    <row r="113" spans="1:37" x14ac:dyDescent="0.3">
      <c r="B113" s="112" t="s">
        <v>170</v>
      </c>
      <c r="C113" s="5" t="s">
        <v>167</v>
      </c>
      <c r="E113" s="35">
        <v>22404</v>
      </c>
      <c r="F113" s="35">
        <v>19998</v>
      </c>
      <c r="G113" s="35">
        <v>22964</v>
      </c>
      <c r="H113" s="35">
        <v>25515</v>
      </c>
      <c r="I113" s="35">
        <v>22979</v>
      </c>
      <c r="J113" s="35">
        <v>4962</v>
      </c>
      <c r="K113" s="35">
        <v>18016</v>
      </c>
      <c r="L113" s="35">
        <v>12052</v>
      </c>
      <c r="M113" s="70">
        <v>22089</v>
      </c>
      <c r="N113" s="35">
        <v>20501</v>
      </c>
      <c r="O113" s="35">
        <v>24064</v>
      </c>
      <c r="P113" s="35">
        <v>26113</v>
      </c>
      <c r="Q113" s="35">
        <v>21788</v>
      </c>
      <c r="R113" s="35">
        <v>20093</v>
      </c>
      <c r="S113" s="35">
        <v>24209</v>
      </c>
      <c r="T113" s="35">
        <v>14151</v>
      </c>
      <c r="U113" s="35">
        <v>21784</v>
      </c>
      <c r="V113" s="35">
        <v>24569</v>
      </c>
      <c r="W113" s="35">
        <v>22363</v>
      </c>
      <c r="X113" s="35">
        <v>20006</v>
      </c>
      <c r="Y113" s="35">
        <v>26044</v>
      </c>
      <c r="Z113" s="35">
        <v>27132</v>
      </c>
      <c r="AA113" s="35">
        <v>20877</v>
      </c>
      <c r="AB113" s="35">
        <v>20641</v>
      </c>
      <c r="AC113" s="35">
        <v>23883</v>
      </c>
      <c r="AD113" s="35">
        <v>20898</v>
      </c>
      <c r="AE113" s="35">
        <v>19391</v>
      </c>
      <c r="AF113" s="35">
        <v>26897</v>
      </c>
      <c r="AG113" s="35"/>
      <c r="AH113" s="35"/>
      <c r="AI113" s="35"/>
      <c r="AJ113" s="24"/>
    </row>
    <row r="114" spans="1:37" x14ac:dyDescent="0.3">
      <c r="B114" s="115"/>
      <c r="E114" s="72"/>
      <c r="F114" s="72"/>
      <c r="G114" s="72"/>
      <c r="H114" s="72"/>
      <c r="I114" s="72"/>
      <c r="J114" s="72"/>
      <c r="K114" s="72"/>
      <c r="L114" s="72"/>
      <c r="M114" s="116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</row>
    <row r="115" spans="1:37" x14ac:dyDescent="0.3">
      <c r="B115" s="112" t="s">
        <v>171</v>
      </c>
      <c r="C115" s="257" t="s">
        <v>172</v>
      </c>
      <c r="E115" s="35"/>
      <c r="F115" s="35"/>
      <c r="G115" s="35"/>
      <c r="H115" s="35"/>
      <c r="I115" s="35"/>
      <c r="J115" s="35"/>
      <c r="K115" s="35"/>
      <c r="L115" s="35"/>
      <c r="M115" s="70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24"/>
    </row>
    <row r="116" spans="1:37" x14ac:dyDescent="0.3">
      <c r="B116" s="112" t="s">
        <v>173</v>
      </c>
      <c r="C116" s="257" t="s">
        <v>172</v>
      </c>
      <c r="E116" s="35"/>
      <c r="F116" s="35"/>
      <c r="G116" s="35"/>
      <c r="H116" s="35"/>
      <c r="I116" s="35"/>
      <c r="J116" s="35"/>
      <c r="K116" s="35"/>
      <c r="L116" s="35"/>
      <c r="M116" s="70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24"/>
    </row>
    <row r="118" spans="1:37" x14ac:dyDescent="0.3">
      <c r="A118" s="384" t="s">
        <v>174</v>
      </c>
      <c r="B118" s="189" t="s">
        <v>105</v>
      </c>
      <c r="C118" s="257" t="s">
        <v>102</v>
      </c>
      <c r="E118" s="24">
        <v>102</v>
      </c>
      <c r="F118" s="24">
        <v>83</v>
      </c>
      <c r="G118" s="24">
        <v>121</v>
      </c>
      <c r="H118" s="24">
        <v>290</v>
      </c>
      <c r="I118" s="24">
        <v>108</v>
      </c>
      <c r="J118" s="24">
        <v>228</v>
      </c>
      <c r="K118" s="24">
        <v>163</v>
      </c>
      <c r="L118" s="24">
        <v>283</v>
      </c>
      <c r="M118" s="24">
        <v>96</v>
      </c>
      <c r="N118" s="24">
        <v>163</v>
      </c>
      <c r="O118" s="24">
        <v>146</v>
      </c>
      <c r="P118" s="24">
        <v>240</v>
      </c>
      <c r="Q118" s="24">
        <v>93</v>
      </c>
      <c r="R118" s="24">
        <v>185</v>
      </c>
      <c r="S118" s="24">
        <v>221</v>
      </c>
      <c r="T118" s="24">
        <v>160</v>
      </c>
      <c r="U118" s="24">
        <v>205</v>
      </c>
      <c r="V118" s="24">
        <v>162</v>
      </c>
      <c r="W118" s="24">
        <v>182</v>
      </c>
      <c r="X118" s="24">
        <f>260-39</f>
        <v>221</v>
      </c>
      <c r="Y118" s="24">
        <v>184</v>
      </c>
      <c r="Z118" s="24">
        <v>171</v>
      </c>
      <c r="AA118" s="24">
        <v>179</v>
      </c>
      <c r="AB118" s="24">
        <f>224-34</f>
        <v>190</v>
      </c>
      <c r="AC118" s="24">
        <f>156-6</f>
        <v>150</v>
      </c>
      <c r="AD118" s="24">
        <f>92-14</f>
        <v>78</v>
      </c>
      <c r="AE118" s="24">
        <v>102</v>
      </c>
      <c r="AF118" s="24">
        <v>170</v>
      </c>
      <c r="AG118" s="24"/>
      <c r="AH118" s="24"/>
      <c r="AI118" s="24"/>
      <c r="AJ118" s="24">
        <f>SUM(E118:AI118)</f>
        <v>4676</v>
      </c>
      <c r="AK118" s="86"/>
    </row>
    <row r="119" spans="1:37" x14ac:dyDescent="0.3">
      <c r="A119" s="384"/>
      <c r="B119" s="189" t="s">
        <v>106</v>
      </c>
      <c r="C119" s="257" t="s">
        <v>102</v>
      </c>
      <c r="E119" s="24">
        <v>62</v>
      </c>
      <c r="F119" s="24">
        <v>50</v>
      </c>
      <c r="G119" s="24">
        <v>0</v>
      </c>
      <c r="H119" s="24">
        <v>137</v>
      </c>
      <c r="I119" s="24">
        <v>52</v>
      </c>
      <c r="J119" s="24">
        <v>117</v>
      </c>
      <c r="K119" s="24">
        <v>99</v>
      </c>
      <c r="L119" s="24">
        <v>131</v>
      </c>
      <c r="M119" s="24">
        <v>58</v>
      </c>
      <c r="N119" s="24">
        <v>87</v>
      </c>
      <c r="O119" s="24">
        <v>90</v>
      </c>
      <c r="P119" s="24">
        <v>130</v>
      </c>
      <c r="Q119" s="24">
        <v>61</v>
      </c>
      <c r="R119" s="24">
        <v>103</v>
      </c>
      <c r="S119" s="24">
        <v>145</v>
      </c>
      <c r="T119" s="24">
        <v>104</v>
      </c>
      <c r="U119" s="24">
        <v>111</v>
      </c>
      <c r="V119" s="24">
        <v>59</v>
      </c>
      <c r="W119" s="24">
        <v>119</v>
      </c>
      <c r="X119" s="24">
        <v>123</v>
      </c>
      <c r="Y119" s="24">
        <v>101</v>
      </c>
      <c r="Z119" s="24">
        <v>82</v>
      </c>
      <c r="AA119" s="24">
        <v>80</v>
      </c>
      <c r="AB119" s="24">
        <v>116</v>
      </c>
      <c r="AC119" s="24">
        <v>87</v>
      </c>
      <c r="AD119" s="24">
        <v>26</v>
      </c>
      <c r="AE119" s="24">
        <v>66</v>
      </c>
      <c r="AF119" s="24">
        <v>80</v>
      </c>
      <c r="AG119" s="24"/>
      <c r="AH119" s="24"/>
      <c r="AI119" s="24"/>
      <c r="AJ119" s="24">
        <f>SUM(E119:AI119)</f>
        <v>2476</v>
      </c>
      <c r="AK119" s="86"/>
    </row>
    <row r="120" spans="1:37" x14ac:dyDescent="0.3">
      <c r="A120" s="384" t="s">
        <v>175</v>
      </c>
      <c r="B120" s="189" t="s">
        <v>105</v>
      </c>
      <c r="C120" s="257" t="s">
        <v>102</v>
      </c>
      <c r="E120" s="24">
        <f>243</f>
        <v>243</v>
      </c>
      <c r="F120" s="24">
        <f>279-F28-F29</f>
        <v>195</v>
      </c>
      <c r="G120" s="24">
        <v>229</v>
      </c>
      <c r="H120" s="24">
        <v>179</v>
      </c>
      <c r="I120" s="24">
        <v>172</v>
      </c>
      <c r="J120" s="24">
        <v>243</v>
      </c>
      <c r="K120" s="24">
        <v>278</v>
      </c>
      <c r="L120" s="24">
        <v>299</v>
      </c>
      <c r="M120" s="24">
        <v>278</v>
      </c>
      <c r="N120" s="24">
        <v>214</v>
      </c>
      <c r="O120" s="24">
        <v>262</v>
      </c>
      <c r="P120" s="24">
        <v>245</v>
      </c>
      <c r="Q120" s="24">
        <v>259</v>
      </c>
      <c r="R120" s="24">
        <v>299</v>
      </c>
      <c r="S120" s="24">
        <f>242-57</f>
        <v>185</v>
      </c>
      <c r="T120" s="24">
        <v>223</v>
      </c>
      <c r="U120" s="24">
        <v>281</v>
      </c>
      <c r="V120" s="24">
        <v>256</v>
      </c>
      <c r="W120" s="24">
        <v>242</v>
      </c>
      <c r="X120" s="24">
        <f>328-64-66</f>
        <v>198</v>
      </c>
      <c r="Y120" s="24">
        <v>272</v>
      </c>
      <c r="Z120" s="24">
        <v>301</v>
      </c>
      <c r="AA120" s="24">
        <v>0</v>
      </c>
      <c r="AB120" s="24">
        <f>525-79-105</f>
        <v>341</v>
      </c>
      <c r="AC120" s="24">
        <f>375-56-14-75</f>
        <v>230</v>
      </c>
      <c r="AD120" s="24">
        <v>167</v>
      </c>
      <c r="AE120" s="24">
        <v>244</v>
      </c>
      <c r="AF120" s="24">
        <v>218</v>
      </c>
      <c r="AG120" s="24"/>
      <c r="AH120" s="24"/>
      <c r="AI120" s="24"/>
      <c r="AJ120" s="24">
        <f>SUM(E120:AI120)</f>
        <v>6553</v>
      </c>
    </row>
    <row r="121" spans="1:37" x14ac:dyDescent="0.3">
      <c r="A121" s="384"/>
      <c r="B121" s="189" t="s">
        <v>106</v>
      </c>
      <c r="C121" s="257" t="s">
        <v>102</v>
      </c>
      <c r="E121" s="24">
        <v>211</v>
      </c>
      <c r="F121" s="24">
        <v>169</v>
      </c>
      <c r="G121" s="24">
        <v>198</v>
      </c>
      <c r="H121" s="24">
        <v>154</v>
      </c>
      <c r="I121" s="24">
        <v>149</v>
      </c>
      <c r="J121" s="24">
        <v>211</v>
      </c>
      <c r="K121" s="24">
        <v>240</v>
      </c>
      <c r="L121" s="24">
        <v>259</v>
      </c>
      <c r="M121" s="24">
        <v>240</v>
      </c>
      <c r="N121" s="24">
        <v>200</v>
      </c>
      <c r="O121" s="24">
        <v>233</v>
      </c>
      <c r="P121" s="24">
        <v>209</v>
      </c>
      <c r="Q121" s="24">
        <v>221</v>
      </c>
      <c r="R121" s="24">
        <v>256</v>
      </c>
      <c r="S121" s="24">
        <v>159</v>
      </c>
      <c r="T121" s="24">
        <v>190</v>
      </c>
      <c r="U121" s="24">
        <v>240</v>
      </c>
      <c r="V121" s="24">
        <v>219</v>
      </c>
      <c r="W121" s="24">
        <v>207</v>
      </c>
      <c r="X121" s="24">
        <v>182</v>
      </c>
      <c r="Y121" s="24">
        <v>233</v>
      </c>
      <c r="Z121" s="24">
        <v>256</v>
      </c>
      <c r="AA121" s="24">
        <v>174</v>
      </c>
      <c r="AB121" s="24">
        <v>292</v>
      </c>
      <c r="AC121" s="24">
        <v>208</v>
      </c>
      <c r="AD121" s="24">
        <v>142</v>
      </c>
      <c r="AE121" s="24">
        <v>208</v>
      </c>
      <c r="AF121" s="24">
        <v>186</v>
      </c>
      <c r="AG121" s="24"/>
      <c r="AH121" s="24"/>
      <c r="AI121" s="24"/>
      <c r="AJ121" s="24">
        <f>SUM(E121:AI121)</f>
        <v>5846</v>
      </c>
      <c r="AK121" s="203"/>
    </row>
    <row r="123" spans="1:37" x14ac:dyDescent="0.3">
      <c r="A123" s="385" t="s">
        <v>174</v>
      </c>
      <c r="B123" s="189" t="s">
        <v>176</v>
      </c>
      <c r="C123" s="257" t="s">
        <v>102</v>
      </c>
      <c r="E123" s="6">
        <v>173</v>
      </c>
      <c r="F123" s="6">
        <v>100</v>
      </c>
      <c r="G123" s="6">
        <v>200</v>
      </c>
      <c r="H123" s="6">
        <v>200</v>
      </c>
      <c r="I123" s="6">
        <v>200</v>
      </c>
      <c r="J123" s="6">
        <v>150</v>
      </c>
      <c r="K123" s="6">
        <v>0</v>
      </c>
      <c r="L123" s="6">
        <v>190</v>
      </c>
      <c r="M123" s="5">
        <v>150</v>
      </c>
      <c r="N123" s="6">
        <v>310</v>
      </c>
      <c r="O123" s="6">
        <v>0</v>
      </c>
      <c r="P123" s="6">
        <v>280</v>
      </c>
      <c r="Q123" s="6">
        <v>150</v>
      </c>
      <c r="R123" s="6">
        <v>240</v>
      </c>
      <c r="S123" s="6">
        <v>582</v>
      </c>
      <c r="T123" s="6">
        <v>307</v>
      </c>
      <c r="U123" s="6">
        <v>200</v>
      </c>
      <c r="V123" s="6">
        <v>350</v>
      </c>
      <c r="W123" s="6">
        <v>0</v>
      </c>
      <c r="X123" s="6">
        <v>220</v>
      </c>
      <c r="Y123" s="6">
        <v>0</v>
      </c>
      <c r="Z123" s="6">
        <v>300</v>
      </c>
      <c r="AA123" s="6">
        <v>150</v>
      </c>
      <c r="AB123" s="6">
        <v>100</v>
      </c>
      <c r="AC123" s="6">
        <v>0</v>
      </c>
      <c r="AD123" s="6">
        <v>250</v>
      </c>
      <c r="AE123" s="6">
        <v>200</v>
      </c>
      <c r="AF123" s="6">
        <v>300</v>
      </c>
      <c r="AJ123" s="24">
        <f>SUM(E123:AI123)</f>
        <v>5302</v>
      </c>
      <c r="AK123" s="6"/>
    </row>
    <row r="124" spans="1:37" x14ac:dyDescent="0.3">
      <c r="A124" s="385"/>
      <c r="B124" s="189" t="s">
        <v>177</v>
      </c>
      <c r="C124" s="257" t="s">
        <v>102</v>
      </c>
      <c r="E124" s="6">
        <f t="shared" ref="E124:AH124" si="57">E90+E91+E92+E93-E123</f>
        <v>876</v>
      </c>
      <c r="F124" s="6">
        <f t="shared" si="57"/>
        <v>760</v>
      </c>
      <c r="G124" s="6">
        <f t="shared" si="57"/>
        <v>1043</v>
      </c>
      <c r="H124" s="6">
        <f t="shared" si="57"/>
        <v>2637</v>
      </c>
      <c r="I124" s="6">
        <f t="shared" si="57"/>
        <v>833</v>
      </c>
      <c r="J124" s="6">
        <f t="shared" si="57"/>
        <v>2066</v>
      </c>
      <c r="K124" s="6">
        <f t="shared" si="57"/>
        <v>1719</v>
      </c>
      <c r="L124" s="6">
        <f t="shared" si="57"/>
        <v>2534</v>
      </c>
      <c r="M124" s="6">
        <f t="shared" si="57"/>
        <v>837</v>
      </c>
      <c r="N124" s="6">
        <f t="shared" si="57"/>
        <v>1328</v>
      </c>
      <c r="O124" s="6">
        <f t="shared" si="57"/>
        <v>1674</v>
      </c>
      <c r="P124" s="6">
        <f t="shared" si="57"/>
        <v>2307</v>
      </c>
      <c r="Q124" s="6">
        <f t="shared" si="57"/>
        <v>886</v>
      </c>
      <c r="R124" s="6">
        <f t="shared" si="57"/>
        <v>1546</v>
      </c>
      <c r="S124" s="6">
        <f t="shared" si="57"/>
        <v>1648</v>
      </c>
      <c r="T124" s="6">
        <f t="shared" si="57"/>
        <v>1467</v>
      </c>
      <c r="U124" s="6">
        <f t="shared" si="57"/>
        <v>1946</v>
      </c>
      <c r="V124" s="6">
        <f t="shared" si="57"/>
        <v>1209</v>
      </c>
      <c r="W124" s="6">
        <f t="shared" si="57"/>
        <v>2031</v>
      </c>
      <c r="X124" s="6">
        <f t="shared" si="57"/>
        <v>2160</v>
      </c>
      <c r="Y124" s="6">
        <f t="shared" si="57"/>
        <v>1922</v>
      </c>
      <c r="Z124" s="6">
        <f t="shared" si="57"/>
        <v>1464</v>
      </c>
      <c r="AA124" s="6">
        <f t="shared" si="57"/>
        <v>1695</v>
      </c>
      <c r="AB124" s="6">
        <f t="shared" si="57"/>
        <v>1917</v>
      </c>
      <c r="AC124" s="6">
        <f t="shared" si="57"/>
        <v>1479</v>
      </c>
      <c r="AD124" s="6">
        <f t="shared" si="57"/>
        <v>542</v>
      </c>
      <c r="AE124" s="6">
        <f t="shared" si="57"/>
        <v>946</v>
      </c>
      <c r="AF124" s="6">
        <f t="shared" si="57"/>
        <v>1468</v>
      </c>
      <c r="AG124" s="6">
        <f t="shared" si="57"/>
        <v>0</v>
      </c>
      <c r="AH124" s="6">
        <f t="shared" si="57"/>
        <v>0</v>
      </c>
      <c r="AJ124" s="24">
        <f>SUM(E124:AI124)</f>
        <v>42940</v>
      </c>
    </row>
    <row r="125" spans="1:37" x14ac:dyDescent="0.3">
      <c r="A125" s="385" t="s">
        <v>175</v>
      </c>
      <c r="B125" s="189" t="s">
        <v>176</v>
      </c>
      <c r="C125" s="257" t="s">
        <v>102</v>
      </c>
      <c r="E125" s="6">
        <v>593</v>
      </c>
      <c r="F125" s="6">
        <v>0</v>
      </c>
      <c r="G125" s="6">
        <v>735</v>
      </c>
      <c r="H125" s="6">
        <v>850</v>
      </c>
      <c r="I125" s="6">
        <v>313</v>
      </c>
      <c r="J125" s="6">
        <v>500</v>
      </c>
      <c r="K125" s="6">
        <v>1100</v>
      </c>
      <c r="L125" s="6">
        <v>698</v>
      </c>
      <c r="M125" s="5">
        <v>570</v>
      </c>
      <c r="N125" s="6">
        <v>987</v>
      </c>
      <c r="O125" s="6">
        <v>1090</v>
      </c>
      <c r="P125" s="6">
        <v>650</v>
      </c>
      <c r="Q125" s="6">
        <v>850</v>
      </c>
      <c r="R125" s="6">
        <v>880</v>
      </c>
      <c r="S125" s="6">
        <v>501</v>
      </c>
      <c r="T125" s="6">
        <v>1000</v>
      </c>
      <c r="U125" s="6">
        <v>950</v>
      </c>
      <c r="V125" s="6">
        <v>900</v>
      </c>
      <c r="W125" s="6">
        <v>1000</v>
      </c>
      <c r="X125" s="6">
        <v>500</v>
      </c>
      <c r="Y125" s="6">
        <v>850</v>
      </c>
      <c r="Z125" s="6">
        <v>851</v>
      </c>
      <c r="AA125" s="6">
        <v>500</v>
      </c>
      <c r="AB125" s="6">
        <v>480</v>
      </c>
      <c r="AC125" s="6">
        <v>1000</v>
      </c>
      <c r="AD125" s="6">
        <v>775</v>
      </c>
      <c r="AE125" s="6">
        <v>820</v>
      </c>
      <c r="AF125" s="6">
        <v>1190</v>
      </c>
      <c r="AJ125" s="24">
        <f>SUM(E125:AI125)</f>
        <v>21133</v>
      </c>
      <c r="AK125" s="6"/>
    </row>
    <row r="126" spans="1:37" x14ac:dyDescent="0.3">
      <c r="A126" s="385"/>
      <c r="B126" s="189" t="s">
        <v>177</v>
      </c>
      <c r="C126" s="257" t="s">
        <v>102</v>
      </c>
      <c r="E126" s="6">
        <f t="shared" ref="E126:AH126" si="58">E94+E95-E125</f>
        <v>2990</v>
      </c>
      <c r="F126" s="6">
        <f t="shared" si="58"/>
        <v>2832</v>
      </c>
      <c r="G126" s="6">
        <f t="shared" si="58"/>
        <v>2357</v>
      </c>
      <c r="H126" s="6">
        <f t="shared" si="58"/>
        <v>1756</v>
      </c>
      <c r="I126" s="6">
        <f t="shared" si="58"/>
        <v>1999</v>
      </c>
      <c r="J126" s="6">
        <f t="shared" si="58"/>
        <v>2821</v>
      </c>
      <c r="K126" s="6">
        <f>K94+K95-K125</f>
        <v>2932</v>
      </c>
      <c r="L126" s="6">
        <f>L94+L95-L125</f>
        <v>3393</v>
      </c>
      <c r="M126" s="6">
        <f t="shared" si="58"/>
        <v>3375</v>
      </c>
      <c r="N126" s="6">
        <f t="shared" si="58"/>
        <v>2313</v>
      </c>
      <c r="O126" s="6">
        <f t="shared" si="58"/>
        <v>2761</v>
      </c>
      <c r="P126" s="6">
        <f t="shared" si="58"/>
        <v>2912</v>
      </c>
      <c r="Q126" s="6">
        <f t="shared" si="58"/>
        <v>2805</v>
      </c>
      <c r="R126" s="6">
        <f t="shared" si="58"/>
        <v>3402</v>
      </c>
      <c r="S126" s="6">
        <f t="shared" si="58"/>
        <v>2110</v>
      </c>
      <c r="T126" s="6">
        <f t="shared" si="58"/>
        <v>2110</v>
      </c>
      <c r="U126" s="6">
        <f t="shared" si="58"/>
        <v>2862</v>
      </c>
      <c r="V126" s="6">
        <f t="shared" si="58"/>
        <v>2834</v>
      </c>
      <c r="W126" s="6">
        <f t="shared" si="58"/>
        <v>2314</v>
      </c>
      <c r="X126" s="6">
        <f t="shared" si="58"/>
        <v>2574</v>
      </c>
      <c r="Y126" s="6">
        <f t="shared" si="58"/>
        <v>2952</v>
      </c>
      <c r="Z126" s="6">
        <f t="shared" si="58"/>
        <v>3545</v>
      </c>
      <c r="AA126" s="6">
        <f t="shared" si="58"/>
        <v>2199</v>
      </c>
      <c r="AB126" s="6">
        <f t="shared" si="58"/>
        <v>4135</v>
      </c>
      <c r="AC126" s="6">
        <f t="shared" si="58"/>
        <v>2348</v>
      </c>
      <c r="AD126" s="6">
        <f t="shared" si="58"/>
        <v>1610</v>
      </c>
      <c r="AE126" s="6">
        <f t="shared" si="58"/>
        <v>2783</v>
      </c>
      <c r="AF126" s="6">
        <f t="shared" si="58"/>
        <v>1976</v>
      </c>
      <c r="AG126" s="6">
        <f t="shared" si="58"/>
        <v>0</v>
      </c>
      <c r="AH126" s="6">
        <f t="shared" si="58"/>
        <v>0</v>
      </c>
      <c r="AJ126" s="24">
        <f>SUM(E126:AI126)</f>
        <v>75000</v>
      </c>
    </row>
    <row r="127" spans="1:37" x14ac:dyDescent="0.3">
      <c r="A127" s="5"/>
      <c r="B127" s="117"/>
      <c r="C127" s="118"/>
      <c r="P127" s="119"/>
      <c r="Q127" s="119"/>
      <c r="R127" s="119"/>
      <c r="S127" s="119"/>
      <c r="T127" s="119"/>
      <c r="U127" s="119"/>
      <c r="V127" s="119"/>
    </row>
    <row r="128" spans="1:37" x14ac:dyDescent="0.3">
      <c r="B128" s="117" t="s">
        <v>178</v>
      </c>
      <c r="P128" s="119"/>
      <c r="Q128" s="119"/>
      <c r="R128" s="119"/>
      <c r="S128" s="119"/>
      <c r="T128" s="119"/>
      <c r="U128" s="119"/>
      <c r="V128" s="119"/>
    </row>
    <row r="129" spans="1:37" x14ac:dyDescent="0.3">
      <c r="A129" s="26"/>
      <c r="B129" s="383" t="s">
        <v>179</v>
      </c>
      <c r="C129" s="257" t="s">
        <v>174</v>
      </c>
      <c r="D129" s="257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>
        <f>SUM(E129:AH129)</f>
        <v>0</v>
      </c>
    </row>
    <row r="130" spans="1:37" x14ac:dyDescent="0.3">
      <c r="A130" s="26"/>
      <c r="B130" s="383"/>
      <c r="C130" s="257" t="s">
        <v>175</v>
      </c>
      <c r="D130" s="257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>
        <f>SUM(E130:AH130)</f>
        <v>0</v>
      </c>
    </row>
    <row r="131" spans="1:37" x14ac:dyDescent="0.3">
      <c r="A131" s="26"/>
      <c r="B131" s="383" t="s">
        <v>180</v>
      </c>
      <c r="C131" s="257" t="s">
        <v>174</v>
      </c>
      <c r="D131" s="257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>
        <f>SUM(E131:AH131)</f>
        <v>0</v>
      </c>
    </row>
    <row r="132" spans="1:37" x14ac:dyDescent="0.3">
      <c r="A132" s="26"/>
      <c r="B132" s="383"/>
      <c r="C132" s="257" t="s">
        <v>175</v>
      </c>
      <c r="D132" s="257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>
        <f>SUM(E132:AH132)</f>
        <v>0</v>
      </c>
    </row>
    <row r="133" spans="1:37" x14ac:dyDescent="0.3">
      <c r="B133" s="120"/>
      <c r="M133" s="6"/>
    </row>
    <row r="134" spans="1:37" x14ac:dyDescent="0.3">
      <c r="B134" s="44" t="s">
        <v>181</v>
      </c>
      <c r="E134" s="74">
        <f t="shared" ref="E134:AH134" si="59">E44+E57</f>
        <v>11784138</v>
      </c>
      <c r="F134" s="74">
        <f t="shared" si="59"/>
        <v>11947343</v>
      </c>
      <c r="G134" s="74">
        <f t="shared" si="59"/>
        <v>11542155</v>
      </c>
      <c r="H134" s="74">
        <f t="shared" si="59"/>
        <v>10874292</v>
      </c>
      <c r="I134" s="74">
        <f t="shared" si="59"/>
        <v>5327916</v>
      </c>
      <c r="J134" s="74">
        <f t="shared" si="59"/>
        <v>5295336</v>
      </c>
      <c r="K134" s="74">
        <f t="shared" si="59"/>
        <v>10016205</v>
      </c>
      <c r="L134" s="74">
        <f t="shared" si="59"/>
        <v>11945546</v>
      </c>
      <c r="M134" s="74">
        <f t="shared" si="59"/>
        <v>12023501</v>
      </c>
      <c r="N134" s="74">
        <f t="shared" si="59"/>
        <v>11948680</v>
      </c>
      <c r="O134" s="74">
        <f t="shared" si="59"/>
        <v>11867965</v>
      </c>
      <c r="P134" s="74">
        <f t="shared" si="59"/>
        <v>11760896</v>
      </c>
      <c r="Q134" s="74">
        <f t="shared" si="59"/>
        <v>11240200</v>
      </c>
      <c r="R134" s="74">
        <f t="shared" si="59"/>
        <v>11632136</v>
      </c>
      <c r="S134" s="74">
        <f t="shared" si="59"/>
        <v>11737190</v>
      </c>
      <c r="T134" s="74">
        <f t="shared" si="59"/>
        <v>11838937</v>
      </c>
      <c r="U134" s="74">
        <f t="shared" si="59"/>
        <v>11427466</v>
      </c>
      <c r="V134" s="74">
        <f t="shared" si="59"/>
        <v>11938568</v>
      </c>
      <c r="W134" s="74">
        <f t="shared" si="59"/>
        <v>11768730</v>
      </c>
      <c r="X134" s="74">
        <f t="shared" si="59"/>
        <v>11929876</v>
      </c>
      <c r="Y134" s="74">
        <f t="shared" si="59"/>
        <v>11617704</v>
      </c>
      <c r="Z134" s="74">
        <f t="shared" si="59"/>
        <v>11234845</v>
      </c>
      <c r="AA134" s="74">
        <f t="shared" si="59"/>
        <v>11856760</v>
      </c>
      <c r="AB134" s="74">
        <f t="shared" si="59"/>
        <v>10980419</v>
      </c>
      <c r="AC134" s="74">
        <f t="shared" si="59"/>
        <v>11342942</v>
      </c>
      <c r="AD134" s="74">
        <f t="shared" si="59"/>
        <v>11780187</v>
      </c>
      <c r="AE134" s="74">
        <f t="shared" si="59"/>
        <v>11854820</v>
      </c>
      <c r="AF134" s="74">
        <f t="shared" si="59"/>
        <v>10817075</v>
      </c>
      <c r="AG134" s="74">
        <f t="shared" si="59"/>
        <v>0</v>
      </c>
      <c r="AH134" s="74">
        <f t="shared" si="59"/>
        <v>0</v>
      </c>
      <c r="AI134" s="74"/>
      <c r="AJ134" s="74">
        <f>AJ44+AJ57</f>
        <v>311331828</v>
      </c>
      <c r="AK134" s="107">
        <f>AJ134/(AJ72+AJ73)</f>
        <v>730.01019518097155</v>
      </c>
    </row>
    <row r="135" spans="1:37" x14ac:dyDescent="0.3">
      <c r="B135" s="44" t="s">
        <v>182</v>
      </c>
      <c r="E135" s="121">
        <f>(E49+E62)/E134</f>
        <v>0.28812485054061654</v>
      </c>
      <c r="F135" s="121">
        <f t="shared" ref="F135:AH135" si="60">(F49+F62)/F134</f>
        <v>0.28580622486522733</v>
      </c>
      <c r="G135" s="121">
        <f t="shared" si="60"/>
        <v>0.26433408665886049</v>
      </c>
      <c r="H135" s="121">
        <f t="shared" si="60"/>
        <v>0.2642812975778101</v>
      </c>
      <c r="I135" s="121">
        <f t="shared" si="60"/>
        <v>0.28889250506201675</v>
      </c>
      <c r="J135" s="121">
        <f t="shared" si="60"/>
        <v>0.27375033425640977</v>
      </c>
      <c r="K135" s="121">
        <f t="shared" si="60"/>
        <v>0.26761333259453057</v>
      </c>
      <c r="L135" s="121">
        <f t="shared" si="60"/>
        <v>0.14985292426147787</v>
      </c>
      <c r="M135" s="121">
        <f t="shared" si="60"/>
        <v>0.14536905681631332</v>
      </c>
      <c r="N135" s="121">
        <f t="shared" si="60"/>
        <v>0.15328889885744701</v>
      </c>
      <c r="O135" s="121">
        <f t="shared" si="60"/>
        <v>0.1655313274011172</v>
      </c>
      <c r="P135" s="121">
        <f t="shared" si="60"/>
        <v>0.15901509544851006</v>
      </c>
      <c r="Q135" s="121">
        <f t="shared" si="60"/>
        <v>0.15923542285724454</v>
      </c>
      <c r="R135" s="121">
        <f t="shared" si="60"/>
        <v>3.9268798095207967E-2</v>
      </c>
      <c r="S135" s="121">
        <f t="shared" si="60"/>
        <v>3.3451788716038509E-2</v>
      </c>
      <c r="T135" s="121">
        <f t="shared" si="60"/>
        <v>3.4913607530811255E-2</v>
      </c>
      <c r="U135" s="121">
        <f t="shared" si="60"/>
        <v>3.526372338364428E-2</v>
      </c>
      <c r="V135" s="121">
        <f t="shared" si="60"/>
        <v>0.16217899835223118</v>
      </c>
      <c r="W135" s="121">
        <f t="shared" si="60"/>
        <v>0.19696177922341662</v>
      </c>
      <c r="X135" s="121">
        <f t="shared" si="60"/>
        <v>0.20821297723463345</v>
      </c>
      <c r="Y135" s="121">
        <f t="shared" si="60"/>
        <v>0.15994038064664068</v>
      </c>
      <c r="Z135" s="121">
        <f t="shared" si="60"/>
        <v>0</v>
      </c>
      <c r="AA135" s="121">
        <f t="shared" si="60"/>
        <v>5.9999777342208155E-2</v>
      </c>
      <c r="AB135" s="121">
        <f t="shared" si="60"/>
        <v>0</v>
      </c>
      <c r="AC135" s="121">
        <f t="shared" si="60"/>
        <v>0</v>
      </c>
      <c r="AD135" s="121">
        <f t="shared" si="60"/>
        <v>0</v>
      </c>
      <c r="AE135" s="121">
        <f t="shared" si="60"/>
        <v>0</v>
      </c>
      <c r="AF135" s="121">
        <f t="shared" si="60"/>
        <v>0</v>
      </c>
      <c r="AG135" s="121" t="e">
        <f t="shared" si="60"/>
        <v>#DIV/0!</v>
      </c>
      <c r="AH135" s="121" t="e">
        <f t="shared" si="60"/>
        <v>#DIV/0!</v>
      </c>
      <c r="AI135" s="121"/>
      <c r="AJ135" s="121">
        <f>(AJ49+AJ62)/AJ134</f>
        <v>0.12967349409582371</v>
      </c>
    </row>
    <row r="136" spans="1:37" x14ac:dyDescent="0.3">
      <c r="B136" s="44" t="s">
        <v>183</v>
      </c>
      <c r="E136" s="121">
        <f t="shared" ref="E136:AH136" si="61">(E53+E66)/E134</f>
        <v>0.46216524280350418</v>
      </c>
      <c r="F136" s="121">
        <f t="shared" si="61"/>
        <v>0.45272911307560182</v>
      </c>
      <c r="G136" s="121">
        <f t="shared" si="61"/>
        <v>0.43336274725127155</v>
      </c>
      <c r="H136" s="121">
        <f t="shared" si="61"/>
        <v>0.46230504018100671</v>
      </c>
      <c r="I136" s="121">
        <f t="shared" si="61"/>
        <v>0.7066552851058463</v>
      </c>
      <c r="J136" s="121">
        <f t="shared" si="61"/>
        <v>0.57202413595662294</v>
      </c>
      <c r="K136" s="121">
        <f t="shared" si="61"/>
        <v>0.41526256701016001</v>
      </c>
      <c r="L136" s="121">
        <f t="shared" si="61"/>
        <v>0.7632183577042021</v>
      </c>
      <c r="M136" s="121">
        <f t="shared" si="61"/>
        <v>0.7460023498979208</v>
      </c>
      <c r="N136" s="121">
        <f t="shared" si="61"/>
        <v>0.79234668599376668</v>
      </c>
      <c r="O136" s="121">
        <f t="shared" si="61"/>
        <v>0.83063861411792161</v>
      </c>
      <c r="P136" s="121">
        <f t="shared" si="61"/>
        <v>0.81663633451056794</v>
      </c>
      <c r="Q136" s="121">
        <f t="shared" si="61"/>
        <v>0.83794843508122629</v>
      </c>
      <c r="R136" s="121">
        <f t="shared" si="61"/>
        <v>0.33870821317770011</v>
      </c>
      <c r="S136" s="121">
        <f t="shared" si="61"/>
        <v>0.32437917423165169</v>
      </c>
      <c r="T136" s="121">
        <f t="shared" si="61"/>
        <v>0.3187000657238061</v>
      </c>
      <c r="U136" s="121">
        <f t="shared" si="61"/>
        <v>0.32425386345494267</v>
      </c>
      <c r="V136" s="121">
        <f t="shared" si="61"/>
        <v>0.19564071670907265</v>
      </c>
      <c r="W136" s="121">
        <f t="shared" si="61"/>
        <v>0.19366660633730232</v>
      </c>
      <c r="X136" s="121">
        <f t="shared" si="61"/>
        <v>0.26065987609594599</v>
      </c>
      <c r="Y136" s="121">
        <f t="shared" si="61"/>
        <v>0.33378626275897544</v>
      </c>
      <c r="Z136" s="121">
        <f t="shared" si="61"/>
        <v>0.50424994737355078</v>
      </c>
      <c r="AA136" s="121">
        <f t="shared" si="61"/>
        <v>0.44390554586581826</v>
      </c>
      <c r="AB136" s="121">
        <f t="shared" si="61"/>
        <v>0.52517121614393769</v>
      </c>
      <c r="AC136" s="121">
        <f t="shared" si="61"/>
        <v>0.57415580543389888</v>
      </c>
      <c r="AD136" s="121">
        <f t="shared" si="61"/>
        <v>0.66943589265603343</v>
      </c>
      <c r="AE136" s="121">
        <f t="shared" si="61"/>
        <v>0.68337823771259287</v>
      </c>
      <c r="AF136" s="121">
        <f t="shared" si="61"/>
        <v>0.79741011317754573</v>
      </c>
      <c r="AG136" s="121" t="e">
        <f t="shared" si="61"/>
        <v>#DIV/0!</v>
      </c>
      <c r="AH136" s="121" t="e">
        <f t="shared" si="61"/>
        <v>#DIV/0!</v>
      </c>
      <c r="AI136" s="121"/>
      <c r="AJ136" s="121">
        <f>(AJ53+AJ66)/AJ134</f>
        <v>0.5233054826633402</v>
      </c>
    </row>
    <row r="137" spans="1:37" x14ac:dyDescent="0.3">
      <c r="B137" s="44" t="s">
        <v>281</v>
      </c>
      <c r="E137" s="121">
        <f>(E45+E58)/E134</f>
        <v>0.24989829548839296</v>
      </c>
      <c r="F137" s="121">
        <f>(F45+F58)/F134</f>
        <v>0.2532820895825959</v>
      </c>
      <c r="G137" s="121">
        <f t="shared" ref="G137:AH137" si="62">(G45+G58)/G134</f>
        <v>0.26131385343551528</v>
      </c>
      <c r="H137" s="121">
        <f t="shared" si="62"/>
        <v>0.22470906611667224</v>
      </c>
      <c r="I137" s="121">
        <f t="shared" si="62"/>
        <v>0</v>
      </c>
      <c r="J137" s="121">
        <f t="shared" si="62"/>
        <v>0.15483776666863067</v>
      </c>
      <c r="K137" s="121">
        <f t="shared" si="62"/>
        <v>0.30566766554797947</v>
      </c>
      <c r="L137" s="121">
        <f t="shared" si="62"/>
        <v>0</v>
      </c>
      <c r="M137" s="121">
        <f t="shared" si="62"/>
        <v>0</v>
      </c>
      <c r="N137" s="121">
        <f t="shared" si="62"/>
        <v>0</v>
      </c>
      <c r="O137" s="121">
        <f t="shared" si="62"/>
        <v>0</v>
      </c>
      <c r="P137" s="121">
        <f t="shared" si="62"/>
        <v>0</v>
      </c>
      <c r="Q137" s="121">
        <f t="shared" si="62"/>
        <v>0</v>
      </c>
      <c r="R137" s="121">
        <f t="shared" si="62"/>
        <v>0.62242411883767523</v>
      </c>
      <c r="S137" s="121">
        <f t="shared" si="62"/>
        <v>0.55474862381881862</v>
      </c>
      <c r="T137" s="121">
        <f t="shared" si="62"/>
        <v>0.57625790220861894</v>
      </c>
      <c r="U137" s="121">
        <f t="shared" si="62"/>
        <v>0.5825601231279095</v>
      </c>
      <c r="V137" s="121">
        <f t="shared" si="62"/>
        <v>0.59379340972887196</v>
      </c>
      <c r="W137" s="121">
        <f t="shared" si="62"/>
        <v>0.5294549199446329</v>
      </c>
      <c r="X137" s="121">
        <f t="shared" si="62"/>
        <v>0.47582623658452106</v>
      </c>
      <c r="Y137" s="121">
        <f t="shared" si="62"/>
        <v>0.44181845225183908</v>
      </c>
      <c r="Z137" s="121">
        <f t="shared" si="62"/>
        <v>0.44321474840106828</v>
      </c>
      <c r="AA137" s="121">
        <f t="shared" si="62"/>
        <v>0.45693882645849287</v>
      </c>
      <c r="AB137" s="121">
        <f t="shared" si="62"/>
        <v>0.47480191785031156</v>
      </c>
      <c r="AC137" s="121">
        <f t="shared" si="62"/>
        <v>0.42559857927511224</v>
      </c>
      <c r="AD137" s="121">
        <f t="shared" si="62"/>
        <v>0.31259342487517389</v>
      </c>
      <c r="AE137" s="121">
        <f t="shared" si="62"/>
        <v>0.31654769958548507</v>
      </c>
      <c r="AF137" s="121">
        <f t="shared" si="62"/>
        <v>0.20210491283456941</v>
      </c>
      <c r="AG137" s="121" t="e">
        <f t="shared" si="62"/>
        <v>#DIV/0!</v>
      </c>
      <c r="AH137" s="121" t="e">
        <f t="shared" si="62"/>
        <v>#DIV/0!</v>
      </c>
      <c r="AI137" s="121"/>
      <c r="AJ137" s="121">
        <f>(AJ58+AJ45)/AJ134</f>
        <v>0.31070367466573318</v>
      </c>
    </row>
    <row r="138" spans="1:37" x14ac:dyDescent="0.3">
      <c r="B138" s="44" t="s">
        <v>184</v>
      </c>
      <c r="E138" s="121">
        <f>((E101*E102)+(E105*E106))/E134</f>
        <v>0</v>
      </c>
      <c r="F138" s="121">
        <f t="shared" ref="F138:AH138" si="63">((F101*F102)+(F105*F106))/F134</f>
        <v>8.6325486763040114E-3</v>
      </c>
      <c r="G138" s="121">
        <f t="shared" si="63"/>
        <v>8.1682571408892013E-3</v>
      </c>
      <c r="H138" s="121">
        <f t="shared" si="63"/>
        <v>0</v>
      </c>
      <c r="I138" s="121">
        <f t="shared" si="63"/>
        <v>4.3496856932429117E-3</v>
      </c>
      <c r="J138" s="121">
        <f t="shared" si="63"/>
        <v>0</v>
      </c>
      <c r="K138" s="121">
        <f t="shared" si="63"/>
        <v>6.0280555360039062E-3</v>
      </c>
      <c r="L138" s="121">
        <f t="shared" si="63"/>
        <v>0</v>
      </c>
      <c r="M138" s="121">
        <f t="shared" si="63"/>
        <v>1.5489664782329206E-3</v>
      </c>
      <c r="N138" s="121">
        <f t="shared" si="63"/>
        <v>0</v>
      </c>
      <c r="O138" s="121">
        <f t="shared" si="63"/>
        <v>3.714817156943081E-3</v>
      </c>
      <c r="P138" s="121">
        <f t="shared" si="63"/>
        <v>0</v>
      </c>
      <c r="Q138" s="121">
        <f t="shared" si="63"/>
        <v>3.1084144410241806E-3</v>
      </c>
      <c r="R138" s="121">
        <f t="shared" si="63"/>
        <v>0</v>
      </c>
      <c r="S138" s="121">
        <f t="shared" si="63"/>
        <v>0</v>
      </c>
      <c r="T138" s="121">
        <f t="shared" si="63"/>
        <v>3.1960470775374513E-3</v>
      </c>
      <c r="U138" s="121">
        <f t="shared" si="63"/>
        <v>5.7865952084215338E-3</v>
      </c>
      <c r="V138" s="121">
        <f t="shared" si="63"/>
        <v>0</v>
      </c>
      <c r="W138" s="121">
        <f t="shared" si="63"/>
        <v>2.6286353752698892E-3</v>
      </c>
      <c r="X138" s="121">
        <f t="shared" si="63"/>
        <v>9.0306387090695653E-4</v>
      </c>
      <c r="Y138" s="121">
        <f t="shared" si="63"/>
        <v>4.8408928304594437E-3</v>
      </c>
      <c r="Z138" s="121">
        <f t="shared" si="63"/>
        <v>0</v>
      </c>
      <c r="AA138" s="121">
        <f t="shared" si="63"/>
        <v>1.8858330606337653E-3</v>
      </c>
      <c r="AB138" s="121">
        <f t="shared" si="63"/>
        <v>0</v>
      </c>
      <c r="AC138" s="121">
        <f t="shared" si="63"/>
        <v>0</v>
      </c>
      <c r="AD138" s="121">
        <f t="shared" si="63"/>
        <v>1.7893264342917478E-2</v>
      </c>
      <c r="AE138" s="121">
        <f t="shared" si="63"/>
        <v>0</v>
      </c>
      <c r="AF138" s="121">
        <f t="shared" si="63"/>
        <v>5.8143259615006822E-4</v>
      </c>
      <c r="AG138" s="121" t="e">
        <f t="shared" si="63"/>
        <v>#DIV/0!</v>
      </c>
      <c r="AH138" s="121" t="e">
        <f t="shared" si="63"/>
        <v>#DIV/0!</v>
      </c>
      <c r="AI138" s="121"/>
      <c r="AJ138" s="121">
        <f>((AJ101*AJ102)+(AJ105*AJ106))/AJ134</f>
        <v>2.6337404218112898E-3</v>
      </c>
    </row>
    <row r="139" spans="1:37" x14ac:dyDescent="0.3">
      <c r="B139" s="44" t="s">
        <v>185</v>
      </c>
      <c r="E139" s="121">
        <f>(E75*E77)/E134</f>
        <v>0</v>
      </c>
      <c r="F139" s="121">
        <f t="shared" ref="F139:AH139" si="64">(F75*F77)/F134</f>
        <v>0</v>
      </c>
      <c r="G139" s="121">
        <f t="shared" si="64"/>
        <v>3.3051020368380084E-2</v>
      </c>
      <c r="H139" s="121">
        <f t="shared" si="64"/>
        <v>4.9007144557089329E-2</v>
      </c>
      <c r="I139" s="121">
        <f t="shared" si="64"/>
        <v>0</v>
      </c>
      <c r="J139" s="121">
        <f t="shared" si="64"/>
        <v>0</v>
      </c>
      <c r="K139" s="121">
        <f t="shared" si="64"/>
        <v>0</v>
      </c>
      <c r="L139" s="121">
        <f t="shared" si="64"/>
        <v>8.6988740405838288E-2</v>
      </c>
      <c r="M139" s="121">
        <f t="shared" si="64"/>
        <v>0.10676673957111162</v>
      </c>
      <c r="N139" s="121">
        <f t="shared" si="64"/>
        <v>5.4468945523689645E-2</v>
      </c>
      <c r="O139" s="121">
        <f t="shared" si="64"/>
        <v>0</v>
      </c>
      <c r="P139" s="121">
        <f t="shared" si="64"/>
        <v>2.4995034391937485E-2</v>
      </c>
      <c r="Q139" s="121">
        <f t="shared" si="64"/>
        <v>0</v>
      </c>
      <c r="R139" s="121">
        <f t="shared" si="64"/>
        <v>0</v>
      </c>
      <c r="S139" s="121">
        <f t="shared" si="64"/>
        <v>8.7501863733994253E-2</v>
      </c>
      <c r="T139" s="121">
        <f t="shared" si="64"/>
        <v>6.7325470183682873E-2</v>
      </c>
      <c r="U139" s="121">
        <f t="shared" si="64"/>
        <v>5.1650995942582545E-2</v>
      </c>
      <c r="V139" s="121">
        <f t="shared" si="64"/>
        <v>4.7966305506657078E-2</v>
      </c>
      <c r="W139" s="121">
        <f t="shared" si="64"/>
        <v>7.6856041391042199E-2</v>
      </c>
      <c r="X139" s="121">
        <f t="shared" si="64"/>
        <v>5.4543064823138143E-2</v>
      </c>
      <c r="Y139" s="121">
        <f t="shared" si="64"/>
        <v>5.9261709542608419E-2</v>
      </c>
      <c r="Z139" s="121">
        <f t="shared" si="64"/>
        <v>5.2175174646379191E-2</v>
      </c>
      <c r="AA139" s="121">
        <f>(AA75*AA77)/AA134</f>
        <v>3.7282444782554422E-2</v>
      </c>
      <c r="AB139" s="121">
        <f t="shared" si="64"/>
        <v>0</v>
      </c>
      <c r="AC139" s="121">
        <f t="shared" si="64"/>
        <v>0</v>
      </c>
      <c r="AD139" s="121">
        <f t="shared" si="64"/>
        <v>0</v>
      </c>
      <c r="AE139" s="121">
        <f t="shared" si="64"/>
        <v>0</v>
      </c>
      <c r="AF139" s="121">
        <f t="shared" si="64"/>
        <v>0</v>
      </c>
      <c r="AG139" s="121" t="e">
        <f t="shared" si="64"/>
        <v>#DIV/0!</v>
      </c>
      <c r="AH139" s="121" t="e">
        <f t="shared" si="64"/>
        <v>#DIV/0!</v>
      </c>
      <c r="AI139" s="121"/>
      <c r="AJ139" s="121">
        <f>(AJ75*AJ77)/AJ134</f>
        <v>3.3536285278227322E-2</v>
      </c>
    </row>
    <row r="140" spans="1:37" ht="15" thickBot="1" x14ac:dyDescent="0.35"/>
    <row r="141" spans="1:37" x14ac:dyDescent="0.3">
      <c r="B141" s="377" t="s">
        <v>283</v>
      </c>
      <c r="C141" s="280"/>
      <c r="D141" s="280"/>
      <c r="E141" s="281">
        <v>46.65</v>
      </c>
      <c r="F141" s="281">
        <v>47.49</v>
      </c>
      <c r="G141" s="281">
        <v>47.87</v>
      </c>
      <c r="H141" s="281">
        <v>45.25</v>
      </c>
      <c r="I141" s="281">
        <v>46.69</v>
      </c>
      <c r="J141" s="281">
        <v>46.63</v>
      </c>
      <c r="K141" s="281">
        <v>46.1</v>
      </c>
      <c r="L141" s="281">
        <v>45.88</v>
      </c>
      <c r="M141" s="282">
        <v>46.6</v>
      </c>
      <c r="N141" s="281">
        <v>47.26</v>
      </c>
      <c r="O141" s="281">
        <v>45.49</v>
      </c>
      <c r="P141" s="281">
        <v>45.45</v>
      </c>
      <c r="Q141" s="281">
        <v>45.9</v>
      </c>
      <c r="R141" s="281">
        <v>47.83</v>
      </c>
      <c r="S141" s="281">
        <v>46.15</v>
      </c>
      <c r="T141" s="281">
        <v>46.18</v>
      </c>
      <c r="U141" s="281">
        <v>47.19</v>
      </c>
      <c r="V141" s="281">
        <v>45.82</v>
      </c>
      <c r="W141" s="281">
        <v>47.09</v>
      </c>
      <c r="X141" s="281">
        <v>46.28</v>
      </c>
      <c r="Y141" s="281">
        <v>47.37</v>
      </c>
      <c r="Z141" s="281">
        <v>46.63</v>
      </c>
      <c r="AA141" s="281">
        <v>46.92</v>
      </c>
      <c r="AB141" s="281">
        <v>48.12</v>
      </c>
      <c r="AC141" s="281">
        <v>46.64</v>
      </c>
      <c r="AD141" s="281">
        <v>48.3</v>
      </c>
      <c r="AE141" s="281">
        <v>47.32</v>
      </c>
      <c r="AF141" s="281">
        <v>48.39</v>
      </c>
      <c r="AG141" s="283"/>
      <c r="AH141" s="284"/>
      <c r="AI141" s="284"/>
      <c r="AJ141" s="294">
        <v>46.69</v>
      </c>
    </row>
    <row r="142" spans="1:37" x14ac:dyDescent="0.3">
      <c r="B142" s="378"/>
      <c r="E142" s="27">
        <v>32.44</v>
      </c>
      <c r="F142" s="27">
        <v>33.26</v>
      </c>
      <c r="G142" s="27">
        <v>33.11</v>
      </c>
      <c r="H142" s="27">
        <v>32.44</v>
      </c>
      <c r="I142" s="27">
        <v>35.160000000000004</v>
      </c>
      <c r="J142" s="27">
        <v>32.290000000000006</v>
      </c>
      <c r="K142" s="27">
        <v>31.64</v>
      </c>
      <c r="L142" s="27">
        <v>32.94</v>
      </c>
      <c r="M142" s="279">
        <v>32.009999999999991</v>
      </c>
      <c r="N142" s="27">
        <v>32.63000000000001</v>
      </c>
      <c r="O142" s="27">
        <v>33.25</v>
      </c>
      <c r="P142" s="27">
        <v>30.779999999999998</v>
      </c>
      <c r="Q142" s="27">
        <v>30.19</v>
      </c>
      <c r="R142" s="27">
        <v>30.279999999999998</v>
      </c>
      <c r="S142" s="27">
        <v>32.749999999999993</v>
      </c>
      <c r="T142" s="27">
        <v>30.419999999999998</v>
      </c>
      <c r="U142" s="27">
        <v>30.569999999999997</v>
      </c>
      <c r="V142" s="27">
        <v>35.229999999999997</v>
      </c>
      <c r="W142" s="27">
        <v>30.990000000000002</v>
      </c>
      <c r="X142" s="27">
        <v>30.97</v>
      </c>
      <c r="Y142" s="27">
        <v>32.42</v>
      </c>
      <c r="Z142" s="27">
        <v>33.49</v>
      </c>
      <c r="AA142" s="27">
        <v>34.42</v>
      </c>
      <c r="AB142" s="27">
        <v>30.630000000000003</v>
      </c>
      <c r="AC142" s="27">
        <v>41.91</v>
      </c>
      <c r="AD142" s="27">
        <v>36.92</v>
      </c>
      <c r="AE142" s="27">
        <v>32.049999999999997</v>
      </c>
      <c r="AF142" s="27">
        <v>34.43</v>
      </c>
      <c r="AG142" s="285"/>
      <c r="AJ142" s="295">
        <v>32.49</v>
      </c>
    </row>
    <row r="143" spans="1:37" ht="15" thickBot="1" x14ac:dyDescent="0.35">
      <c r="B143" s="379"/>
      <c r="C143" s="286"/>
      <c r="D143" s="286"/>
      <c r="E143" s="287">
        <v>64.97</v>
      </c>
      <c r="F143" s="287">
        <v>69.36</v>
      </c>
      <c r="G143" s="287">
        <v>68.64</v>
      </c>
      <c r="H143" s="287">
        <v>60.89</v>
      </c>
      <c r="I143" s="287">
        <v>70.290000000000006</v>
      </c>
      <c r="J143" s="287">
        <v>61.63</v>
      </c>
      <c r="K143" s="287">
        <v>62.71</v>
      </c>
      <c r="L143" s="287">
        <v>62.04</v>
      </c>
      <c r="M143" s="288">
        <v>65.569999999999993</v>
      </c>
      <c r="N143" s="287">
        <v>65.790000000000006</v>
      </c>
      <c r="O143" s="287">
        <v>63.29</v>
      </c>
      <c r="P143" s="287">
        <v>58.83</v>
      </c>
      <c r="Q143" s="287">
        <v>57.89</v>
      </c>
      <c r="R143" s="287">
        <v>60.98</v>
      </c>
      <c r="S143" s="287">
        <v>64.349999999999994</v>
      </c>
      <c r="T143" s="287">
        <v>61.87</v>
      </c>
      <c r="U143" s="287">
        <v>60.16</v>
      </c>
      <c r="V143" s="287">
        <v>69.16</v>
      </c>
      <c r="W143" s="287">
        <v>59.38</v>
      </c>
      <c r="X143" s="287">
        <v>59.54</v>
      </c>
      <c r="Y143" s="287">
        <v>65.61</v>
      </c>
      <c r="Z143" s="287">
        <v>62.99</v>
      </c>
      <c r="AA143" s="287">
        <v>64.22</v>
      </c>
      <c r="AB143" s="287">
        <v>60.49</v>
      </c>
      <c r="AC143" s="287">
        <v>70.069999999999993</v>
      </c>
      <c r="AD143" s="287">
        <v>73.97</v>
      </c>
      <c r="AE143" s="287">
        <v>64.89</v>
      </c>
      <c r="AF143" s="287">
        <v>66.69</v>
      </c>
      <c r="AG143" s="289"/>
      <c r="AH143" s="290"/>
      <c r="AI143" s="290"/>
      <c r="AJ143" s="297">
        <v>63.77</v>
      </c>
    </row>
    <row r="144" spans="1:37" x14ac:dyDescent="0.3">
      <c r="B144" s="380" t="s">
        <v>284</v>
      </c>
      <c r="C144" s="280"/>
      <c r="D144" s="280"/>
      <c r="E144" s="291">
        <v>55.46</v>
      </c>
      <c r="F144" s="291">
        <v>55.7</v>
      </c>
      <c r="G144" s="291">
        <v>55.39</v>
      </c>
      <c r="H144" s="291">
        <v>57.28</v>
      </c>
      <c r="I144" s="291">
        <v>1.46</v>
      </c>
      <c r="J144" s="291">
        <v>0</v>
      </c>
      <c r="K144" s="291">
        <v>52.86</v>
      </c>
      <c r="L144" s="291">
        <v>54.5</v>
      </c>
      <c r="M144" s="292">
        <v>57.44</v>
      </c>
      <c r="N144" s="291">
        <v>54.72</v>
      </c>
      <c r="O144" s="291">
        <v>54.25</v>
      </c>
      <c r="P144" s="291">
        <v>54.16</v>
      </c>
      <c r="Q144" s="291">
        <v>53.05</v>
      </c>
      <c r="R144" s="291">
        <v>52.56</v>
      </c>
      <c r="S144" s="291">
        <v>53.34</v>
      </c>
      <c r="T144" s="291">
        <v>53.36</v>
      </c>
      <c r="U144" s="291">
        <v>55.29</v>
      </c>
      <c r="V144" s="291">
        <v>53.64</v>
      </c>
      <c r="W144" s="291">
        <v>55.07</v>
      </c>
      <c r="X144" s="291">
        <v>54.92</v>
      </c>
      <c r="Y144" s="291">
        <v>54.09</v>
      </c>
      <c r="Z144" s="291">
        <v>55.93</v>
      </c>
      <c r="AA144" s="291">
        <v>54.31</v>
      </c>
      <c r="AB144" s="291">
        <v>54.88</v>
      </c>
      <c r="AC144" s="291">
        <v>55.68</v>
      </c>
      <c r="AD144" s="291">
        <v>54.8</v>
      </c>
      <c r="AE144" s="291">
        <v>55.04</v>
      </c>
      <c r="AF144" s="291">
        <v>58.63</v>
      </c>
      <c r="AG144" s="293"/>
      <c r="AH144" s="284"/>
      <c r="AI144" s="284"/>
      <c r="AJ144" s="296">
        <v>55.31</v>
      </c>
    </row>
    <row r="145" spans="2:36" x14ac:dyDescent="0.3">
      <c r="B145" s="381"/>
      <c r="E145" s="27">
        <v>36.11</v>
      </c>
      <c r="F145" s="27">
        <v>37.110000000000007</v>
      </c>
      <c r="G145" s="27">
        <v>35.17</v>
      </c>
      <c r="H145" s="27">
        <v>34.830000000000005</v>
      </c>
      <c r="I145" s="27">
        <v>35.96</v>
      </c>
      <c r="J145" s="27">
        <v>35.909999999999997</v>
      </c>
      <c r="K145" s="27">
        <v>33.460000000000008</v>
      </c>
      <c r="L145" s="27">
        <v>33.760000000000005</v>
      </c>
      <c r="M145" s="279">
        <v>34.58</v>
      </c>
      <c r="N145" s="27">
        <v>35.230000000000004</v>
      </c>
      <c r="O145" s="27">
        <v>33.780000000000008</v>
      </c>
      <c r="P145" s="27">
        <v>33.889999999999993</v>
      </c>
      <c r="Q145" s="27">
        <v>24.239999999999995</v>
      </c>
      <c r="R145" s="27">
        <v>33.1</v>
      </c>
      <c r="S145" s="27">
        <v>35.15</v>
      </c>
      <c r="T145" s="27">
        <v>35.469999999999992</v>
      </c>
      <c r="U145" s="27">
        <v>34.410000000000004</v>
      </c>
      <c r="V145" s="27">
        <v>40.120000000000005</v>
      </c>
      <c r="W145" s="27">
        <v>34.1</v>
      </c>
      <c r="X145" s="27">
        <v>36.44</v>
      </c>
      <c r="Y145" s="27">
        <v>34.520000000000003</v>
      </c>
      <c r="Z145" s="27">
        <v>33.130000000000003</v>
      </c>
      <c r="AA145" s="27">
        <v>35.900000000000006</v>
      </c>
      <c r="AB145" s="27">
        <v>33.6</v>
      </c>
      <c r="AC145" s="27">
        <v>45.44</v>
      </c>
      <c r="AD145" s="27">
        <v>36.700000000000003</v>
      </c>
      <c r="AE145" s="27">
        <v>35.839999999999996</v>
      </c>
      <c r="AF145" s="27">
        <v>36.89</v>
      </c>
      <c r="AG145" s="285"/>
      <c r="AJ145" s="295">
        <v>35</v>
      </c>
    </row>
    <row r="146" spans="2:36" ht="15" thickBot="1" x14ac:dyDescent="0.35">
      <c r="B146" s="382"/>
      <c r="C146" s="286"/>
      <c r="D146" s="286"/>
      <c r="E146" s="287">
        <v>73.8</v>
      </c>
      <c r="F146" s="287">
        <v>76.260000000000005</v>
      </c>
      <c r="G146" s="287">
        <v>70.36</v>
      </c>
      <c r="H146" s="287">
        <v>69.81</v>
      </c>
      <c r="I146" s="287">
        <v>36.93</v>
      </c>
      <c r="J146" s="287">
        <v>35.909999999999997</v>
      </c>
      <c r="K146" s="287">
        <v>67.430000000000007</v>
      </c>
      <c r="L146" s="287">
        <v>69.790000000000006</v>
      </c>
      <c r="M146" s="288">
        <v>72.63</v>
      </c>
      <c r="N146" s="287">
        <v>72.45</v>
      </c>
      <c r="O146" s="287">
        <v>70.290000000000006</v>
      </c>
      <c r="P146" s="287">
        <v>69.099999999999994</v>
      </c>
      <c r="Q146" s="287">
        <v>59.55</v>
      </c>
      <c r="R146" s="287">
        <v>65.11</v>
      </c>
      <c r="S146" s="287">
        <v>72.5</v>
      </c>
      <c r="T146" s="287">
        <v>72.849999999999994</v>
      </c>
      <c r="U146" s="287">
        <v>71.37</v>
      </c>
      <c r="V146" s="287">
        <v>75.290000000000006</v>
      </c>
      <c r="W146" s="287">
        <v>68.42</v>
      </c>
      <c r="X146" s="287">
        <v>74.33</v>
      </c>
      <c r="Y146" s="287">
        <v>69.75</v>
      </c>
      <c r="Z146" s="287">
        <v>66.75</v>
      </c>
      <c r="AA146" s="287">
        <v>77.12</v>
      </c>
      <c r="AB146" s="287">
        <v>68.03</v>
      </c>
      <c r="AC146" s="287">
        <v>80.099999999999994</v>
      </c>
      <c r="AD146" s="287">
        <v>74.5</v>
      </c>
      <c r="AE146" s="287">
        <v>71.94</v>
      </c>
      <c r="AF146" s="287">
        <v>77.89</v>
      </c>
      <c r="AG146" s="289"/>
      <c r="AH146" s="290"/>
      <c r="AI146" s="290"/>
      <c r="AJ146" s="297">
        <v>71.84</v>
      </c>
    </row>
  </sheetData>
  <mergeCells count="8">
    <mergeCell ref="B141:B143"/>
    <mergeCell ref="B144:B146"/>
    <mergeCell ref="B131:B132"/>
    <mergeCell ref="A118:A119"/>
    <mergeCell ref="A120:A121"/>
    <mergeCell ref="A123:A124"/>
    <mergeCell ref="A125:A126"/>
    <mergeCell ref="B129:B1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3:N37"/>
  <sheetViews>
    <sheetView zoomScale="70" zoomScaleNormal="70" workbookViewId="0">
      <selection activeCell="D28" sqref="D28"/>
    </sheetView>
  </sheetViews>
  <sheetFormatPr defaultRowHeight="14.4" x14ac:dyDescent="0.3"/>
  <cols>
    <col min="3" max="3" width="32.33203125" bestFit="1" customWidth="1"/>
    <col min="4" max="4" width="11.5546875" customWidth="1"/>
    <col min="7" max="7" width="13" bestFit="1" customWidth="1"/>
    <col min="8" max="8" width="8.6640625" bestFit="1" customWidth="1"/>
  </cols>
  <sheetData>
    <row r="3" spans="3:11" ht="15" thickBot="1" x14ac:dyDescent="0.35"/>
    <row r="4" spans="3:11" ht="15" thickBot="1" x14ac:dyDescent="0.35">
      <c r="C4" s="392" t="s">
        <v>49</v>
      </c>
      <c r="D4" s="390" t="s">
        <v>50</v>
      </c>
      <c r="E4" s="391"/>
      <c r="F4" s="392" t="s">
        <v>216</v>
      </c>
      <c r="G4" s="388" t="s">
        <v>66</v>
      </c>
      <c r="H4" s="388" t="s">
        <v>51</v>
      </c>
    </row>
    <row r="5" spans="3:11" ht="15" thickBot="1" x14ac:dyDescent="0.35">
      <c r="C5" s="393"/>
      <c r="D5" s="169" t="s">
        <v>58</v>
      </c>
      <c r="E5" s="170" t="s">
        <v>59</v>
      </c>
      <c r="F5" s="393"/>
      <c r="G5" s="389"/>
      <c r="H5" s="389"/>
    </row>
    <row r="6" spans="3:11" x14ac:dyDescent="0.3">
      <c r="C6" s="1" t="s">
        <v>52</v>
      </c>
      <c r="D6" s="142">
        <f>Dashboard!AJ90+Dashboard!AJ91</f>
        <v>34838</v>
      </c>
      <c r="E6" s="143">
        <f>Dashboard!AJ94+Dashboard!AJ95</f>
        <v>96133</v>
      </c>
      <c r="F6" s="160">
        <f t="shared" ref="F6:F8" si="0">SUM(D6:E6)</f>
        <v>130971</v>
      </c>
      <c r="G6" s="262">
        <f>Dashboard!AJ5</f>
        <v>0.33176197013987752</v>
      </c>
      <c r="H6" s="394">
        <v>863.46</v>
      </c>
    </row>
    <row r="7" spans="3:11" x14ac:dyDescent="0.3">
      <c r="C7" s="2" t="s">
        <v>53</v>
      </c>
      <c r="D7" s="122">
        <f>Dashboard!AJ92</f>
        <v>4685</v>
      </c>
      <c r="E7" s="148" t="s">
        <v>215</v>
      </c>
      <c r="F7" s="160">
        <f t="shared" si="0"/>
        <v>4685</v>
      </c>
      <c r="G7" s="263">
        <f>Dashboard!AJ8</f>
        <v>0.27871973347611401</v>
      </c>
      <c r="H7" s="395"/>
    </row>
    <row r="8" spans="3:11" x14ac:dyDescent="0.3">
      <c r="C8" s="2" t="s">
        <v>54</v>
      </c>
      <c r="D8" s="122">
        <f>Dashboard!AJ93</f>
        <v>8719</v>
      </c>
      <c r="E8" s="148" t="s">
        <v>215</v>
      </c>
      <c r="F8" s="160">
        <f t="shared" si="0"/>
        <v>8719</v>
      </c>
      <c r="G8" s="263">
        <f>Dashboard!AJ11</f>
        <v>0.30184172263380182</v>
      </c>
      <c r="H8" s="396"/>
    </row>
    <row r="9" spans="3:11" x14ac:dyDescent="0.3">
      <c r="C9" s="2" t="s">
        <v>228</v>
      </c>
      <c r="D9" s="122"/>
      <c r="E9" s="148"/>
      <c r="F9" s="160"/>
      <c r="G9" s="157"/>
      <c r="H9" s="272">
        <v>9.3856569075211986</v>
      </c>
    </row>
    <row r="10" spans="3:11" x14ac:dyDescent="0.3">
      <c r="C10" s="2" t="s">
        <v>229</v>
      </c>
      <c r="D10" s="122"/>
      <c r="E10" s="148"/>
      <c r="F10" s="160"/>
      <c r="G10" s="158"/>
      <c r="H10" s="272">
        <v>3.527925866922148</v>
      </c>
    </row>
    <row r="11" spans="3:11" x14ac:dyDescent="0.3">
      <c r="C11" s="2" t="s">
        <v>204</v>
      </c>
      <c r="D11" s="270">
        <v>7.6</v>
      </c>
      <c r="E11" s="271">
        <v>5.8</v>
      </c>
      <c r="F11" s="196">
        <v>6.5660875503360279</v>
      </c>
      <c r="G11" s="158"/>
      <c r="H11" s="272">
        <v>6.5660875503360279</v>
      </c>
    </row>
    <row r="12" spans="3:11" ht="14.55" customHeight="1" x14ac:dyDescent="0.3">
      <c r="C12" s="141" t="s">
        <v>55</v>
      </c>
      <c r="D12" s="149">
        <f>Dashboard!AJ16</f>
        <v>28.730568281560373</v>
      </c>
      <c r="E12" s="150">
        <f>Dashboard!AJ22</f>
        <v>21.461756992742018</v>
      </c>
      <c r="F12" s="159">
        <f>Dashboard!AJ24</f>
        <v>25.727262495427645</v>
      </c>
      <c r="G12" s="159">
        <f>F12</f>
        <v>25.727262495427645</v>
      </c>
      <c r="H12" s="272">
        <v>1.127342856112574</v>
      </c>
    </row>
    <row r="13" spans="3:11" x14ac:dyDescent="0.3">
      <c r="C13" s="367" t="s">
        <v>105</v>
      </c>
      <c r="D13" s="122">
        <f>Dashboard!AJ118</f>
        <v>4676</v>
      </c>
      <c r="E13" s="123">
        <f>Dashboard!AJ125</f>
        <v>21133</v>
      </c>
      <c r="F13" s="160">
        <f t="shared" ref="F13:F22" si="1">SUM(D13:E13)</f>
        <v>25809</v>
      </c>
      <c r="G13" s="2"/>
      <c r="H13" s="273"/>
      <c r="K13" s="15">
        <f>F13</f>
        <v>25809</v>
      </c>
    </row>
    <row r="14" spans="3:11" x14ac:dyDescent="0.3">
      <c r="C14" s="2" t="s">
        <v>217</v>
      </c>
      <c r="D14" s="122">
        <f>Dashboard!AJ119</f>
        <v>2476</v>
      </c>
      <c r="E14" s="123">
        <f>Dashboard!AJ126</f>
        <v>75000</v>
      </c>
      <c r="F14" s="160">
        <f>SUM(D14:E14)</f>
        <v>77476</v>
      </c>
      <c r="G14" s="386">
        <f>Dashboard!AJ34</f>
        <v>25982</v>
      </c>
      <c r="H14" s="272">
        <v>634.79936123758864</v>
      </c>
      <c r="K14" s="15">
        <f>F14</f>
        <v>77476</v>
      </c>
    </row>
    <row r="15" spans="3:11" x14ac:dyDescent="0.3">
      <c r="C15" s="2" t="s">
        <v>13</v>
      </c>
      <c r="D15" s="153" t="s">
        <v>215</v>
      </c>
      <c r="E15" s="148" t="s">
        <v>215</v>
      </c>
      <c r="F15" s="160">
        <f>Dashboard!AJ28</f>
        <v>2026</v>
      </c>
      <c r="G15" s="387"/>
      <c r="H15" s="273">
        <v>0</v>
      </c>
      <c r="K15" s="15">
        <f>F15</f>
        <v>2026</v>
      </c>
    </row>
    <row r="16" spans="3:11" x14ac:dyDescent="0.3">
      <c r="C16" s="2" t="s">
        <v>282</v>
      </c>
      <c r="D16" s="153"/>
      <c r="E16" s="148"/>
      <c r="F16" s="160">
        <f>Dashboard!AJ29</f>
        <v>2124</v>
      </c>
      <c r="G16" s="258"/>
      <c r="H16" s="272">
        <v>1608.308845305778</v>
      </c>
      <c r="K16" s="15"/>
    </row>
    <row r="17" spans="3:14" x14ac:dyDescent="0.3">
      <c r="C17" s="2" t="s">
        <v>224</v>
      </c>
      <c r="D17" s="152">
        <f>Dashboard!AJ30</f>
        <v>763</v>
      </c>
      <c r="E17" s="151">
        <f>Dashboard!AJ31</f>
        <v>1518</v>
      </c>
      <c r="F17" s="160">
        <f>SUM(D17:E17)</f>
        <v>2281</v>
      </c>
      <c r="G17" s="2"/>
      <c r="H17" s="272">
        <v>4259.3094727305179</v>
      </c>
      <c r="K17" s="15">
        <f>F17</f>
        <v>2281</v>
      </c>
    </row>
    <row r="18" spans="3:14" x14ac:dyDescent="0.3">
      <c r="C18" s="2" t="s">
        <v>231</v>
      </c>
      <c r="D18" s="152"/>
      <c r="E18" s="151"/>
      <c r="F18" s="160"/>
      <c r="G18" s="2"/>
      <c r="H18" s="272">
        <v>2742.9140132381381</v>
      </c>
    </row>
    <row r="19" spans="3:14" x14ac:dyDescent="0.3">
      <c r="C19" s="2" t="s">
        <v>56</v>
      </c>
      <c r="D19" s="122">
        <f>Dashboard!AJ123</f>
        <v>5302</v>
      </c>
      <c r="E19" s="123">
        <f>Dashboard!AJ125</f>
        <v>21133</v>
      </c>
      <c r="F19" s="160">
        <f>Dashboard!AJ36</f>
        <v>26435</v>
      </c>
      <c r="G19" s="156">
        <f>Dashboard!AJ38</f>
        <v>0.1830995670995671</v>
      </c>
      <c r="H19" s="272">
        <v>447.88351524652012</v>
      </c>
      <c r="K19" s="15">
        <f>K13+K17</f>
        <v>28090</v>
      </c>
    </row>
    <row r="20" spans="3:14" x14ac:dyDescent="0.3">
      <c r="C20" s="2" t="s">
        <v>57</v>
      </c>
      <c r="D20" s="122">
        <f>Dashboard!AJ96</f>
        <v>1387</v>
      </c>
      <c r="E20" s="123">
        <f>Dashboard!AJ97</f>
        <v>2714</v>
      </c>
      <c r="F20" s="160">
        <f t="shared" si="1"/>
        <v>4101</v>
      </c>
      <c r="G20" s="157">
        <f>Dashboard!AJ41</f>
        <v>4.8985296049881152E-2</v>
      </c>
      <c r="H20" s="272">
        <f>H14</f>
        <v>634.79936123758864</v>
      </c>
      <c r="K20">
        <f>K14/K19</f>
        <v>2.7581345674617301</v>
      </c>
    </row>
    <row r="21" spans="3:14" x14ac:dyDescent="0.3">
      <c r="C21" s="367" t="s">
        <v>10</v>
      </c>
      <c r="D21" s="368">
        <v>0</v>
      </c>
      <c r="E21" s="369">
        <v>0</v>
      </c>
      <c r="F21" s="370">
        <f t="shared" si="1"/>
        <v>0</v>
      </c>
      <c r="G21" s="371">
        <v>0</v>
      </c>
      <c r="H21" s="372">
        <v>2.2177937329965753</v>
      </c>
    </row>
    <row r="22" spans="3:14" x14ac:dyDescent="0.3">
      <c r="C22" s="367" t="s">
        <v>60</v>
      </c>
      <c r="D22" s="368">
        <f>Dashboard!AJ63</f>
        <v>0.10930143364344191</v>
      </c>
      <c r="E22" s="373">
        <f>Dashboard!AJ50</f>
        <v>0.14745060788500175</v>
      </c>
      <c r="F22" s="370">
        <f t="shared" si="1"/>
        <v>0.25675204152844366</v>
      </c>
      <c r="G22" s="371">
        <f>Dashboard!AJ136</f>
        <v>0.5233054826633402</v>
      </c>
      <c r="H22" s="374">
        <v>1.4623673600684959</v>
      </c>
      <c r="N22" s="15"/>
    </row>
    <row r="23" spans="3:14" x14ac:dyDescent="0.3">
      <c r="C23" s="367" t="s">
        <v>61</v>
      </c>
      <c r="D23" s="368">
        <f>Dashboard!AJ59</f>
        <v>0.17737102956301465</v>
      </c>
      <c r="E23" s="373">
        <f>Dashboard!AJ46</f>
        <v>0.42705271109940429</v>
      </c>
      <c r="F23" s="370">
        <f>SUM(D23:E23)</f>
        <v>0.60442374066241888</v>
      </c>
      <c r="G23" s="371">
        <f>Dashboard!AJ135</f>
        <v>0.12967349409582371</v>
      </c>
      <c r="H23" s="374">
        <v>1.7648313613277313</v>
      </c>
    </row>
    <row r="24" spans="3:14" x14ac:dyDescent="0.3">
      <c r="C24" s="367" t="s">
        <v>11</v>
      </c>
      <c r="D24" s="375" t="s">
        <v>215</v>
      </c>
      <c r="E24" s="373">
        <f>Dashboard!AJ41</f>
        <v>4.8985296049881152E-2</v>
      </c>
      <c r="F24" s="370">
        <f>SUM(E24)</f>
        <v>4.8985296049881152E-2</v>
      </c>
      <c r="G24" s="371">
        <f>Dashboard!AJ137</f>
        <v>0.31070367466573318</v>
      </c>
      <c r="H24" s="374">
        <v>1.9963440984074781</v>
      </c>
    </row>
    <row r="25" spans="3:14" x14ac:dyDescent="0.3">
      <c r="C25" s="367" t="s">
        <v>23</v>
      </c>
      <c r="D25" s="375"/>
      <c r="E25" s="373"/>
      <c r="F25" s="370"/>
      <c r="G25" s="371"/>
      <c r="H25" s="376"/>
    </row>
    <row r="26" spans="3:14" x14ac:dyDescent="0.3">
      <c r="C26" s="2" t="s">
        <v>214</v>
      </c>
      <c r="D26" s="241">
        <v>1.5727457911855423</v>
      </c>
      <c r="E26" s="242">
        <v>1.6459189511654133</v>
      </c>
      <c r="F26" s="185">
        <v>1.6348925286041187</v>
      </c>
      <c r="G26" s="156"/>
      <c r="H26" s="273"/>
    </row>
    <row r="27" spans="3:14" x14ac:dyDescent="0.3">
      <c r="C27" s="2" t="s">
        <v>223</v>
      </c>
      <c r="D27" s="277">
        <f>Dashboard!AJ68</f>
        <v>725.00252865981031</v>
      </c>
      <c r="E27" s="278">
        <f>Dashboard!AJ69</f>
        <v>734.43686000795162</v>
      </c>
      <c r="F27" s="329">
        <v>729.86242303654967</v>
      </c>
      <c r="G27" s="156"/>
      <c r="H27" s="273"/>
      <c r="J27" s="15"/>
    </row>
    <row r="28" spans="3:14" x14ac:dyDescent="0.3">
      <c r="C28" s="2" t="s">
        <v>222</v>
      </c>
      <c r="D28" s="149">
        <f>Dashboard!AJ143</f>
        <v>63.77</v>
      </c>
      <c r="E28" s="150">
        <f>Dashboard!AJ146</f>
        <v>71.84</v>
      </c>
      <c r="F28" s="2"/>
      <c r="G28" s="156"/>
      <c r="H28" s="225"/>
    </row>
    <row r="29" spans="3:14" x14ac:dyDescent="0.3">
      <c r="C29" s="2" t="s">
        <v>62</v>
      </c>
      <c r="D29" s="154">
        <f>Dashboard!AJ72</f>
        <v>200106</v>
      </c>
      <c r="E29" s="155">
        <f>Dashboard!AJ73</f>
        <v>226370</v>
      </c>
      <c r="F29" s="190">
        <f>SUM(D29:E29)</f>
        <v>426476</v>
      </c>
      <c r="G29" s="156"/>
      <c r="H29" s="275">
        <v>1998.8263152724808</v>
      </c>
    </row>
    <row r="30" spans="3:14" x14ac:dyDescent="0.3">
      <c r="C30" s="2" t="s">
        <v>17</v>
      </c>
      <c r="D30" s="122"/>
      <c r="E30" s="155">
        <f>Dashboard!AJ75</f>
        <v>3675</v>
      </c>
      <c r="F30" s="204">
        <f>E30</f>
        <v>3675</v>
      </c>
      <c r="G30" s="371">
        <f>Dashboard!AJ139</f>
        <v>3.3536285278227322E-2</v>
      </c>
      <c r="H30" s="274">
        <v>0.81180402076009184</v>
      </c>
    </row>
    <row r="31" spans="3:14" x14ac:dyDescent="0.3">
      <c r="C31" s="2" t="s">
        <v>16</v>
      </c>
      <c r="D31" s="122">
        <f>Dashboard!AJ101</f>
        <v>583.80999999999995</v>
      </c>
      <c r="E31" s="151">
        <f>Dashboard!AJ105</f>
        <v>479.91999999999996</v>
      </c>
      <c r="F31" s="159">
        <f>SUM(D31:E31)</f>
        <v>1063.73</v>
      </c>
      <c r="G31" s="371">
        <f>Dashboard!AJ138</f>
        <v>2.6337404218112898E-3</v>
      </c>
      <c r="H31" s="274">
        <v>0.01</v>
      </c>
    </row>
    <row r="32" spans="3:14" x14ac:dyDescent="0.3">
      <c r="C32" s="2" t="s">
        <v>63</v>
      </c>
      <c r="D32" s="122">
        <f>SUM(Dashboard!AJ79:AJ83)</f>
        <v>176348</v>
      </c>
      <c r="E32" s="123">
        <f>SUM(Dashboard!AJ84:AJ86)</f>
        <v>347840</v>
      </c>
      <c r="F32" s="2">
        <f>SUM(D32:E32)</f>
        <v>524188</v>
      </c>
      <c r="G32" s="2"/>
      <c r="H32" s="275">
        <v>2010.1624524907854</v>
      </c>
    </row>
    <row r="33" spans="3:8" x14ac:dyDescent="0.3">
      <c r="C33" s="2" t="s">
        <v>64</v>
      </c>
      <c r="D33" s="122"/>
      <c r="E33" s="123"/>
      <c r="F33" s="2"/>
      <c r="G33" s="156">
        <f>Dashboard!AJ109</f>
        <v>3.747118881658263E-2</v>
      </c>
      <c r="H33" s="225"/>
    </row>
    <row r="34" spans="3:8" x14ac:dyDescent="0.3">
      <c r="C34" s="145" t="s">
        <v>227</v>
      </c>
      <c r="D34" s="166"/>
      <c r="E34" s="167"/>
      <c r="F34" s="145"/>
      <c r="G34" s="168"/>
      <c r="H34" s="274">
        <v>200</v>
      </c>
    </row>
    <row r="35" spans="3:8" x14ac:dyDescent="0.3">
      <c r="C35" s="2" t="s">
        <v>65</v>
      </c>
      <c r="D35" s="122"/>
      <c r="E35" s="123"/>
      <c r="F35" s="2"/>
      <c r="G35" s="156">
        <f>Dashboard!AJ110</f>
        <v>6.7023372564274972E-2</v>
      </c>
      <c r="H35" s="274">
        <v>757.29297552536798</v>
      </c>
    </row>
    <row r="36" spans="3:8" x14ac:dyDescent="0.3">
      <c r="C36" s="2" t="s">
        <v>243</v>
      </c>
      <c r="D36" s="122"/>
      <c r="E36" s="123"/>
      <c r="F36" s="2"/>
      <c r="G36" s="2"/>
      <c r="H36" s="225">
        <f>H34</f>
        <v>200</v>
      </c>
    </row>
    <row r="37" spans="3:8" ht="15" thickBot="1" x14ac:dyDescent="0.35">
      <c r="C37" s="3" t="s">
        <v>242</v>
      </c>
      <c r="D37" s="140"/>
      <c r="E37" s="124"/>
      <c r="F37" s="3"/>
      <c r="G37" s="202">
        <f>Dashboard!AJ111</f>
        <v>2.4542232089110522E-2</v>
      </c>
      <c r="H37" s="276">
        <v>463.72502263174914</v>
      </c>
    </row>
  </sheetData>
  <mergeCells count="7">
    <mergeCell ref="G14:G15"/>
    <mergeCell ref="G4:G5"/>
    <mergeCell ref="H4:H5"/>
    <mergeCell ref="D4:E4"/>
    <mergeCell ref="C4:C5"/>
    <mergeCell ref="H6:H8"/>
    <mergeCell ref="F4:F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V51"/>
  <sheetViews>
    <sheetView topLeftCell="B13" zoomScale="65" zoomScaleNormal="72" workbookViewId="0">
      <pane xSplit="2" topLeftCell="D1" activePane="topRight" state="frozen"/>
      <selection activeCell="B1" sqref="B1"/>
      <selection pane="topRight" activeCell="D37" sqref="D37"/>
    </sheetView>
  </sheetViews>
  <sheetFormatPr defaultRowHeight="14.4" x14ac:dyDescent="0.3"/>
  <cols>
    <col min="2" max="2" width="12.21875" customWidth="1"/>
    <col min="3" max="3" width="32.21875" bestFit="1" customWidth="1"/>
    <col min="4" max="4" width="20.109375" bestFit="1" customWidth="1"/>
    <col min="5" max="5" width="11" bestFit="1" customWidth="1"/>
    <col min="6" max="6" width="10.21875" bestFit="1" customWidth="1"/>
    <col min="7" max="7" width="11.77734375" bestFit="1" customWidth="1"/>
    <col min="8" max="8" width="17.77734375" bestFit="1" customWidth="1"/>
    <col min="9" max="10" width="17.77734375" hidden="1" customWidth="1"/>
    <col min="13" max="13" width="17.5546875" bestFit="1" customWidth="1"/>
    <col min="17" max="17" width="25.77734375" bestFit="1" customWidth="1"/>
    <col min="20" max="20" width="24.5546875" bestFit="1" customWidth="1"/>
    <col min="21" max="21" width="17.77734375" bestFit="1" customWidth="1"/>
    <col min="23" max="23" width="9.88671875" bestFit="1" customWidth="1"/>
    <col min="24" max="24" width="13.77734375" bestFit="1" customWidth="1"/>
    <col min="25" max="26" width="11.33203125" customWidth="1"/>
    <col min="27" max="27" width="25.77734375" bestFit="1" customWidth="1"/>
    <col min="28" max="28" width="12.109375" style="6" customWidth="1"/>
    <col min="29" max="29" width="13.44140625" customWidth="1"/>
    <col min="31" max="31" width="11.5546875" bestFit="1" customWidth="1"/>
    <col min="32" max="32" width="8.44140625" customWidth="1"/>
    <col min="33" max="33" width="10" customWidth="1"/>
    <col min="34" max="34" width="10.77734375" customWidth="1"/>
  </cols>
  <sheetData>
    <row r="1" spans="2:48" ht="15" thickBot="1" x14ac:dyDescent="0.35"/>
    <row r="2" spans="2:48" ht="15" thickBot="1" x14ac:dyDescent="0.35">
      <c r="C2" s="4" t="s">
        <v>3</v>
      </c>
      <c r="D2" s="4" t="s">
        <v>4</v>
      </c>
      <c r="E2" s="4" t="s">
        <v>0</v>
      </c>
      <c r="F2" s="4" t="s">
        <v>1</v>
      </c>
      <c r="G2" s="4" t="s">
        <v>2</v>
      </c>
      <c r="H2" s="178" t="s">
        <v>5</v>
      </c>
      <c r="I2" s="161" t="s">
        <v>220</v>
      </c>
      <c r="J2" s="161" t="s">
        <v>221</v>
      </c>
    </row>
    <row r="3" spans="2:48" ht="15" thickBot="1" x14ac:dyDescent="0.35">
      <c r="C3" s="1"/>
      <c r="D3" s="1"/>
      <c r="E3" s="1"/>
      <c r="F3" s="1"/>
      <c r="G3" s="1"/>
      <c r="H3" s="1"/>
      <c r="M3" s="4" t="s">
        <v>3</v>
      </c>
      <c r="N3" s="4" t="s">
        <v>4</v>
      </c>
      <c r="O3" s="4" t="s">
        <v>51</v>
      </c>
      <c r="Q3" s="162"/>
      <c r="R3" s="162"/>
      <c r="S3" s="163" t="s">
        <v>209</v>
      </c>
      <c r="T3" s="164" t="s">
        <v>210</v>
      </c>
      <c r="U3" s="164" t="s">
        <v>211</v>
      </c>
      <c r="V3" s="165" t="s">
        <v>212</v>
      </c>
      <c r="W3" s="4" t="s">
        <v>213</v>
      </c>
    </row>
    <row r="4" spans="2:48" ht="15" thickBot="1" x14ac:dyDescent="0.35">
      <c r="B4" s="409" t="s">
        <v>37</v>
      </c>
      <c r="C4" s="2" t="s">
        <v>6</v>
      </c>
      <c r="D4" s="2" t="s">
        <v>38</v>
      </c>
      <c r="E4" s="171">
        <v>0.3262123377437619</v>
      </c>
      <c r="F4" s="173">
        <v>0.33600000000000002</v>
      </c>
      <c r="G4" s="250">
        <f>Summary!G6</f>
        <v>0.33176197013987752</v>
      </c>
      <c r="H4" s="251">
        <f>(G4-E4)*($O$4-O5)*T7</f>
        <v>6.3008656846945694</v>
      </c>
      <c r="M4" s="1" t="s">
        <v>186</v>
      </c>
      <c r="N4" s="1" t="s">
        <v>188</v>
      </c>
      <c r="O4" s="1">
        <f>Summary!H29</f>
        <v>1998.8263152724808</v>
      </c>
      <c r="Q4" s="4" t="s">
        <v>63</v>
      </c>
      <c r="R4" s="138" t="s">
        <v>58</v>
      </c>
      <c r="S4" s="125">
        <f>Dashboard!AJ100</f>
        <v>0</v>
      </c>
      <c r="T4" s="99">
        <f>Dashboard!AJ96+Dashboard!AJ97</f>
        <v>4101</v>
      </c>
      <c r="U4" s="99" t="b">
        <f>Dashboard!AJ98</f>
        <v>1</v>
      </c>
      <c r="V4" s="139">
        <f>Dashboard!AJ99</f>
        <v>0</v>
      </c>
      <c r="W4" s="144">
        <f>SUM(S4:V4)</f>
        <v>4101</v>
      </c>
      <c r="Y4">
        <f>SUM(T6:V6)</f>
        <v>5247.1034002500819</v>
      </c>
    </row>
    <row r="5" spans="2:48" ht="15" thickBot="1" x14ac:dyDescent="0.35">
      <c r="B5" s="410"/>
      <c r="C5" s="2" t="s">
        <v>7</v>
      </c>
      <c r="D5" s="2" t="s">
        <v>38</v>
      </c>
      <c r="E5" s="171">
        <v>0.27162679257965888</v>
      </c>
      <c r="F5" s="173">
        <v>0.28399999999999997</v>
      </c>
      <c r="G5" s="250">
        <f>Summary!G7</f>
        <v>0.27871973347611401</v>
      </c>
      <c r="H5" s="251">
        <f>(G5-E5)*($O$4-O5)*U7</f>
        <v>0</v>
      </c>
      <c r="M5" s="2" t="s">
        <v>189</v>
      </c>
      <c r="N5" s="2" t="s">
        <v>188</v>
      </c>
      <c r="O5" s="2">
        <f>Summary!H6</f>
        <v>863.46</v>
      </c>
      <c r="Q5" s="133"/>
      <c r="R5" s="137" t="s">
        <v>59</v>
      </c>
      <c r="S5" s="135">
        <f>Dashboard!AJ103</f>
        <v>0</v>
      </c>
      <c r="T5" s="129">
        <f>Dashboard!AJ101+Dashboard!AJ102</f>
        <v>1146.1034002500814</v>
      </c>
      <c r="U5" s="129"/>
      <c r="V5" s="130"/>
      <c r="W5" s="144">
        <f>SUM(S5:V5)</f>
        <v>1146.1034002500814</v>
      </c>
      <c r="Y5" s="111">
        <f>T6/Y4</f>
        <v>1</v>
      </c>
      <c r="Z5" s="111"/>
      <c r="AA5" s="111"/>
    </row>
    <row r="6" spans="2:48" ht="15" thickBot="1" x14ac:dyDescent="0.35">
      <c r="B6" s="410"/>
      <c r="C6" s="2" t="s">
        <v>8</v>
      </c>
      <c r="D6" s="2" t="s">
        <v>38</v>
      </c>
      <c r="E6" s="156">
        <v>0.29799999999999999</v>
      </c>
      <c r="F6" s="173">
        <v>0.311</v>
      </c>
      <c r="G6" s="250">
        <f>Summary!G8</f>
        <v>0.30184172263380182</v>
      </c>
      <c r="H6" s="251">
        <f>(G6-E6)*($O$4-O5)*V7</f>
        <v>0</v>
      </c>
      <c r="M6" s="2" t="s">
        <v>190</v>
      </c>
      <c r="N6" s="2" t="s">
        <v>188</v>
      </c>
      <c r="O6" s="2">
        <f>Summary!H19</f>
        <v>447.88351524652012</v>
      </c>
      <c r="Q6" s="133"/>
      <c r="R6" s="127" t="s">
        <v>213</v>
      </c>
      <c r="S6" s="136">
        <f>SUM(S4:S5)</f>
        <v>0</v>
      </c>
      <c r="T6" s="131">
        <f t="shared" ref="T6:V6" si="0">SUM(T4:T5)</f>
        <v>5247.1034002500819</v>
      </c>
      <c r="U6" s="131">
        <f t="shared" si="0"/>
        <v>0</v>
      </c>
      <c r="V6" s="132">
        <f t="shared" si="0"/>
        <v>0</v>
      </c>
      <c r="W6" s="128">
        <f>SUM(S6:V6)</f>
        <v>5247.1034002500819</v>
      </c>
      <c r="Y6" s="111">
        <f>U6/Y4</f>
        <v>0</v>
      </c>
      <c r="Z6" s="111"/>
      <c r="AA6" s="111"/>
    </row>
    <row r="7" spans="2:48" ht="15" thickBot="1" x14ac:dyDescent="0.35">
      <c r="B7" s="410"/>
      <c r="C7" s="2" t="s">
        <v>36</v>
      </c>
      <c r="D7" s="2" t="s">
        <v>38</v>
      </c>
      <c r="E7" s="171">
        <v>0.13243099945127981</v>
      </c>
      <c r="F7" s="173">
        <v>0.24</v>
      </c>
      <c r="G7" s="250">
        <f>Summary!G19</f>
        <v>0.1830995670995671</v>
      </c>
      <c r="H7" s="251">
        <f>(G4*Y5+G5*Y6+G6*Y7)*(G7-E7)*SUM(T7:V7)*(O5-O6)</f>
        <v>6.9858007415358232</v>
      </c>
      <c r="M7" s="2" t="s">
        <v>191</v>
      </c>
      <c r="N7" s="2" t="s">
        <v>188</v>
      </c>
      <c r="O7" s="2">
        <f>Summary!H20</f>
        <v>634.79936123758864</v>
      </c>
      <c r="Q7" s="133"/>
      <c r="R7" s="126" t="s">
        <v>66</v>
      </c>
      <c r="S7" s="147">
        <f>S6/$W$6</f>
        <v>0</v>
      </c>
      <c r="T7" s="147">
        <f t="shared" ref="T7:V7" si="1">T6/$W$6</f>
        <v>1</v>
      </c>
      <c r="U7" s="147">
        <f t="shared" si="1"/>
        <v>0</v>
      </c>
      <c r="V7" s="147">
        <f t="shared" si="1"/>
        <v>0</v>
      </c>
      <c r="W7" s="146">
        <f>SUM(S7:V7)</f>
        <v>1</v>
      </c>
      <c r="Y7" s="111">
        <f>V6/Y4</f>
        <v>0</v>
      </c>
      <c r="Z7" s="111"/>
      <c r="AA7" s="111"/>
    </row>
    <row r="8" spans="2:48" ht="15" thickBot="1" x14ac:dyDescent="0.35">
      <c r="B8" s="410"/>
      <c r="C8" s="2" t="s">
        <v>9</v>
      </c>
      <c r="D8" s="2" t="s">
        <v>39</v>
      </c>
      <c r="E8" s="171">
        <v>3.8695230564929205E-2</v>
      </c>
      <c r="F8" s="173">
        <v>4.4999999999999998E-2</v>
      </c>
      <c r="G8" s="250">
        <f>Summary!G20</f>
        <v>4.8985296049881152E-2</v>
      </c>
      <c r="H8" s="251">
        <f>(G8-E8)*S7*(O4-O7)</f>
        <v>0</v>
      </c>
      <c r="M8" s="2" t="s">
        <v>192</v>
      </c>
      <c r="N8" s="2" t="s">
        <v>188</v>
      </c>
      <c r="O8" s="2">
        <f>Summary!H17</f>
        <v>4259.3094727305179</v>
      </c>
      <c r="Q8" s="162" t="s">
        <v>62</v>
      </c>
      <c r="R8" s="138" t="s">
        <v>58</v>
      </c>
      <c r="S8" s="412"/>
      <c r="T8" s="413"/>
      <c r="U8" s="413"/>
      <c r="V8" s="414"/>
      <c r="W8" s="1">
        <f>Summary!D29</f>
        <v>200106</v>
      </c>
    </row>
    <row r="9" spans="2:48" ht="15" thickBot="1" x14ac:dyDescent="0.35">
      <c r="B9" s="410"/>
      <c r="C9" s="2" t="s">
        <v>14</v>
      </c>
      <c r="D9" s="2"/>
      <c r="E9" s="156">
        <v>2.53E-2</v>
      </c>
      <c r="F9" s="156">
        <v>3.1E-2</v>
      </c>
      <c r="G9" s="250">
        <f>Dashboard!AL33</f>
        <v>1.5875983425793799E-2</v>
      </c>
      <c r="H9" s="251">
        <f>(G9-E9)*(O8-O9)*(T7+U7+V7)</f>
        <v>-14.290535943307214</v>
      </c>
      <c r="M9" s="2" t="s">
        <v>267</v>
      </c>
      <c r="N9" s="2" t="s">
        <v>188</v>
      </c>
      <c r="O9" s="2">
        <f>Summary!H18</f>
        <v>2742.9140132381381</v>
      </c>
      <c r="Q9" s="133"/>
      <c r="R9" s="137" t="s">
        <v>59</v>
      </c>
      <c r="S9" s="415"/>
      <c r="T9" s="416"/>
      <c r="U9" s="416"/>
      <c r="V9" s="417"/>
      <c r="W9" s="145">
        <f>Summary!E29</f>
        <v>226370</v>
      </c>
    </row>
    <row r="10" spans="2:48" ht="15" thickBot="1" x14ac:dyDescent="0.35">
      <c r="B10" s="410"/>
      <c r="C10" s="2" t="s">
        <v>232</v>
      </c>
      <c r="D10" s="2" t="s">
        <v>40</v>
      </c>
      <c r="E10" s="156">
        <v>0</v>
      </c>
      <c r="F10" s="2"/>
      <c r="G10" s="156">
        <v>0</v>
      </c>
      <c r="H10" s="183">
        <f>(G10-E10)*(O8-O28)</f>
        <v>0</v>
      </c>
      <c r="M10" s="2" t="s">
        <v>193</v>
      </c>
      <c r="N10" s="2" t="s">
        <v>206</v>
      </c>
      <c r="O10" s="184">
        <v>2.2731619161400847</v>
      </c>
      <c r="Q10" s="134"/>
      <c r="R10" s="127" t="s">
        <v>213</v>
      </c>
      <c r="S10" s="418"/>
      <c r="T10" s="419"/>
      <c r="U10" s="419"/>
      <c r="V10" s="420"/>
      <c r="W10" s="128">
        <f>W8+W9</f>
        <v>426476</v>
      </c>
    </row>
    <row r="11" spans="2:48" ht="15" thickBot="1" x14ac:dyDescent="0.35">
      <c r="B11" s="410"/>
      <c r="C11" s="2" t="s">
        <v>12</v>
      </c>
      <c r="D11" s="2" t="s">
        <v>40</v>
      </c>
      <c r="E11" s="2"/>
      <c r="F11" s="2"/>
      <c r="G11" s="2"/>
      <c r="H11" s="183">
        <v>0</v>
      </c>
      <c r="M11" s="2" t="s">
        <v>10</v>
      </c>
      <c r="N11" s="2" t="s">
        <v>206</v>
      </c>
      <c r="O11" s="2">
        <f>Summary!H21</f>
        <v>2.2177937329965753</v>
      </c>
    </row>
    <row r="12" spans="2:48" ht="16.2" thickBot="1" x14ac:dyDescent="0.35">
      <c r="B12" s="411"/>
      <c r="C12" s="2" t="s">
        <v>233</v>
      </c>
      <c r="D12" s="2" t="s">
        <v>40</v>
      </c>
      <c r="E12" s="2"/>
      <c r="F12" s="2"/>
      <c r="G12" s="2"/>
      <c r="H12" s="183">
        <v>0</v>
      </c>
      <c r="M12" s="2" t="s">
        <v>225</v>
      </c>
      <c r="N12" s="2" t="s">
        <v>206</v>
      </c>
      <c r="O12" s="2">
        <f>Summary!H22</f>
        <v>1.4623673600684959</v>
      </c>
      <c r="S12" s="403" t="s">
        <v>239</v>
      </c>
      <c r="T12" s="404"/>
      <c r="U12" s="404"/>
      <c r="V12" s="405"/>
      <c r="AB12"/>
    </row>
    <row r="13" spans="2:48" ht="14.55" customHeight="1" thickBot="1" x14ac:dyDescent="0.35">
      <c r="B13" s="406" t="s">
        <v>30</v>
      </c>
      <c r="C13" s="2" t="s">
        <v>60</v>
      </c>
      <c r="D13" s="2" t="s">
        <v>41</v>
      </c>
      <c r="E13" s="156">
        <v>0.1183</v>
      </c>
      <c r="F13" s="424">
        <v>0.59689999999999999</v>
      </c>
      <c r="G13" s="250">
        <f>Summary!G22</f>
        <v>0.5233054826633402</v>
      </c>
      <c r="H13" s="251">
        <f>X16</f>
        <v>2703.2277157553672</v>
      </c>
      <c r="L13" s="177">
        <f>E13-G13</f>
        <v>-0.40500548266334019</v>
      </c>
      <c r="M13" s="2" t="s">
        <v>218</v>
      </c>
      <c r="N13" s="2" t="s">
        <v>206</v>
      </c>
      <c r="O13" s="2">
        <f>Summary!H23</f>
        <v>1.7648313613277313</v>
      </c>
      <c r="Q13" s="192" t="s">
        <v>236</v>
      </c>
      <c r="R13" s="187" t="s">
        <v>234</v>
      </c>
      <c r="S13" s="201" t="s">
        <v>235</v>
      </c>
      <c r="T13" s="187" t="s">
        <v>237</v>
      </c>
      <c r="U13" s="187" t="s">
        <v>254</v>
      </c>
      <c r="V13" s="187"/>
      <c r="W13" s="188" t="s">
        <v>51</v>
      </c>
      <c r="X13" s="186" t="s">
        <v>238</v>
      </c>
      <c r="AB13"/>
    </row>
    <row r="14" spans="2:48" x14ac:dyDescent="0.3">
      <c r="B14" s="407"/>
      <c r="C14" s="2" t="s">
        <v>218</v>
      </c>
      <c r="D14" s="2" t="s">
        <v>41</v>
      </c>
      <c r="E14" s="156">
        <v>0.16689999999999999</v>
      </c>
      <c r="F14" s="425"/>
      <c r="G14" s="250">
        <f>Summary!G23</f>
        <v>0.12967349409582371</v>
      </c>
      <c r="H14" s="251">
        <f>X14</f>
        <v>-4385.7334026331255</v>
      </c>
      <c r="L14" s="177">
        <f t="shared" ref="L14:L16" si="2">E14-G14</f>
        <v>3.7226505904176282E-2</v>
      </c>
      <c r="M14" s="2" t="s">
        <v>194</v>
      </c>
      <c r="N14" s="2" t="s">
        <v>206</v>
      </c>
      <c r="O14" s="2">
        <f>Summary!H24</f>
        <v>1.9963440984074781</v>
      </c>
      <c r="Q14" s="193" t="s">
        <v>244</v>
      </c>
      <c r="R14" s="205">
        <v>0.16321652393386099</v>
      </c>
      <c r="S14" s="205">
        <f>Dashboard!AJ152</f>
        <v>0</v>
      </c>
      <c r="T14" s="210">
        <f>S14-R14</f>
        <v>-0.16321652393386099</v>
      </c>
      <c r="U14" s="99" t="s">
        <v>257</v>
      </c>
      <c r="V14" s="99"/>
      <c r="W14" s="244">
        <f>O13</f>
        <v>1.7648313613277313</v>
      </c>
      <c r="X14" s="217">
        <f>T14*(W22-W14)*O29*(W10/W6)</f>
        <v>-4385.7334026331255</v>
      </c>
      <c r="AB14"/>
      <c r="AV14" s="177"/>
    </row>
    <row r="15" spans="2:48" x14ac:dyDescent="0.3">
      <c r="B15" s="407"/>
      <c r="C15" s="2" t="s">
        <v>10</v>
      </c>
      <c r="D15" s="2" t="s">
        <v>41</v>
      </c>
      <c r="E15" s="156">
        <v>0.52270000000000005</v>
      </c>
      <c r="F15" s="179" t="s">
        <v>215</v>
      </c>
      <c r="G15" s="250">
        <f>Summary!G21</f>
        <v>0</v>
      </c>
      <c r="H15" s="251"/>
      <c r="K15">
        <f>(E15-G15)*(O10-O11)*O29*W10/W6</f>
        <v>1716.8357617629856</v>
      </c>
      <c r="L15" s="177">
        <f t="shared" si="2"/>
        <v>0.52270000000000005</v>
      </c>
      <c r="M15" s="2" t="s">
        <v>195</v>
      </c>
      <c r="N15" s="2" t="s">
        <v>206</v>
      </c>
      <c r="O15" s="2">
        <f>Summary!H25</f>
        <v>0</v>
      </c>
      <c r="Q15" s="194" t="s">
        <v>245</v>
      </c>
      <c r="R15" s="206">
        <v>3.6426866138758399E-3</v>
      </c>
      <c r="S15" s="208">
        <v>0</v>
      </c>
      <c r="T15" s="229">
        <f>S15-R15</f>
        <v>-3.6426866138758399E-3</v>
      </c>
      <c r="U15" s="26"/>
      <c r="V15" s="26"/>
      <c r="W15" s="245">
        <v>2.2553519455514262</v>
      </c>
      <c r="X15" s="218"/>
      <c r="AB15"/>
      <c r="AV15" s="177"/>
    </row>
    <row r="16" spans="2:48" ht="72" x14ac:dyDescent="0.3">
      <c r="B16" s="407"/>
      <c r="C16" s="2" t="s">
        <v>11</v>
      </c>
      <c r="D16" s="2" t="s">
        <v>41</v>
      </c>
      <c r="E16" s="171">
        <v>9.5100000000000004E-2</v>
      </c>
      <c r="F16" s="156">
        <v>0.28199999999999997</v>
      </c>
      <c r="G16" s="250">
        <f>Summary!G24</f>
        <v>0.31070367466573318</v>
      </c>
      <c r="H16" s="251">
        <f>X18</f>
        <v>-16858.194789360721</v>
      </c>
      <c r="L16" s="177">
        <f t="shared" si="2"/>
        <v>-0.21560367466573316</v>
      </c>
      <c r="M16" s="2" t="s">
        <v>226</v>
      </c>
      <c r="N16" s="2" t="s">
        <v>187</v>
      </c>
      <c r="O16" s="2">
        <f>Summary!H35</f>
        <v>757.29297552536798</v>
      </c>
      <c r="Q16" s="194" t="s">
        <v>246</v>
      </c>
      <c r="R16" s="206">
        <v>0.11832016077428099</v>
      </c>
      <c r="S16" s="206">
        <f>Dashboard!AJ153</f>
        <v>0</v>
      </c>
      <c r="T16" s="214">
        <f t="shared" ref="T16:T24" si="3">S16-R16</f>
        <v>-0.11832016077428099</v>
      </c>
      <c r="U16" s="215" t="s">
        <v>256</v>
      </c>
      <c r="V16" s="26"/>
      <c r="W16" s="245">
        <f>O12</f>
        <v>1.4623673600684959</v>
      </c>
      <c r="X16" s="218">
        <f>Z42</f>
        <v>2703.2277157553672</v>
      </c>
      <c r="AB16"/>
      <c r="AV16" s="177"/>
    </row>
    <row r="17" spans="2:28" x14ac:dyDescent="0.3">
      <c r="B17" s="407"/>
      <c r="C17" s="2" t="s">
        <v>23</v>
      </c>
      <c r="D17" s="2" t="s">
        <v>41</v>
      </c>
      <c r="E17" s="156">
        <v>3.32E-2</v>
      </c>
      <c r="F17" s="2"/>
      <c r="G17" s="226">
        <v>0</v>
      </c>
      <c r="H17" s="183"/>
      <c r="L17" s="177"/>
      <c r="M17" s="2" t="s">
        <v>196</v>
      </c>
      <c r="N17" s="2" t="s">
        <v>187</v>
      </c>
      <c r="O17" s="2">
        <f>Summary!H34</f>
        <v>200</v>
      </c>
      <c r="Q17" s="194" t="s">
        <v>247</v>
      </c>
      <c r="R17" s="206">
        <v>8.4114955048107693E-3</v>
      </c>
      <c r="S17" s="209">
        <v>0</v>
      </c>
      <c r="T17" s="230">
        <f t="shared" si="3"/>
        <v>-8.4114955048107693E-3</v>
      </c>
      <c r="U17" s="26"/>
      <c r="V17" s="26"/>
      <c r="W17" s="245">
        <v>1.503877782023378</v>
      </c>
      <c r="X17" s="218"/>
      <c r="AB17"/>
    </row>
    <row r="18" spans="2:28" ht="28.8" x14ac:dyDescent="0.3">
      <c r="B18" s="407"/>
      <c r="C18" s="2" t="s">
        <v>24</v>
      </c>
      <c r="D18" s="2" t="s">
        <v>41</v>
      </c>
      <c r="E18" s="156">
        <v>3.1199999999999999E-2</v>
      </c>
      <c r="F18" s="2"/>
      <c r="G18" s="226">
        <v>0</v>
      </c>
      <c r="H18" s="183"/>
      <c r="L18" s="177"/>
      <c r="M18" s="2" t="s">
        <v>242</v>
      </c>
      <c r="N18" s="2" t="s">
        <v>187</v>
      </c>
      <c r="O18" s="2">
        <f>Summary!H37</f>
        <v>463.72502263174914</v>
      </c>
      <c r="Q18" s="194" t="s">
        <v>248</v>
      </c>
      <c r="R18" s="206">
        <v>2.06331711270334E-2</v>
      </c>
      <c r="S18" s="206">
        <f>Dashboard!AJ155</f>
        <v>0</v>
      </c>
      <c r="T18" s="214">
        <f t="shared" si="3"/>
        <v>-2.06331711270334E-2</v>
      </c>
      <c r="U18" s="215" t="s">
        <v>258</v>
      </c>
      <c r="V18" s="26"/>
      <c r="W18" s="245">
        <v>2.04</v>
      </c>
      <c r="X18" s="218">
        <f>Z49</f>
        <v>-16858.194789360721</v>
      </c>
      <c r="Z18" s="177"/>
      <c r="AB18"/>
    </row>
    <row r="19" spans="2:28" ht="14.55" customHeight="1" thickBot="1" x14ac:dyDescent="0.35">
      <c r="B19" s="408"/>
      <c r="C19" s="2" t="s">
        <v>25</v>
      </c>
      <c r="D19" s="2" t="s">
        <v>41</v>
      </c>
      <c r="E19" s="2"/>
      <c r="F19" s="2"/>
      <c r="G19" s="226">
        <v>0</v>
      </c>
      <c r="H19" s="183"/>
      <c r="M19" s="2" t="s">
        <v>243</v>
      </c>
      <c r="N19" s="2" t="s">
        <v>187</v>
      </c>
      <c r="O19" s="2">
        <f>Summary!H36</f>
        <v>200</v>
      </c>
      <c r="Q19" s="194" t="s">
        <v>249</v>
      </c>
      <c r="R19" s="206">
        <v>2.27828789413447E-2</v>
      </c>
      <c r="S19" s="209">
        <v>0</v>
      </c>
      <c r="T19" s="230">
        <f t="shared" si="3"/>
        <v>-2.27828789413447E-2</v>
      </c>
      <c r="U19" s="26"/>
      <c r="V19" s="26"/>
      <c r="W19" s="245">
        <v>1.9316454337975097</v>
      </c>
      <c r="X19" s="218"/>
      <c r="Z19" s="177"/>
      <c r="AB19"/>
    </row>
    <row r="20" spans="2:28" ht="14.55" customHeight="1" x14ac:dyDescent="0.3">
      <c r="B20" s="406" t="s">
        <v>33</v>
      </c>
      <c r="C20" s="2" t="s">
        <v>15</v>
      </c>
      <c r="D20" s="2" t="s">
        <v>42</v>
      </c>
      <c r="E20" s="2"/>
      <c r="F20" s="2"/>
      <c r="G20" s="2"/>
      <c r="H20" s="183"/>
      <c r="M20" s="2" t="s">
        <v>197</v>
      </c>
      <c r="N20" s="2" t="s">
        <v>198</v>
      </c>
      <c r="O20" s="2">
        <f>Summary!H12</f>
        <v>1.127342856112574</v>
      </c>
      <c r="Q20" s="194" t="s">
        <v>250</v>
      </c>
      <c r="R20" s="206">
        <v>7.4450216330188002E-2</v>
      </c>
      <c r="S20" s="209">
        <v>0</v>
      </c>
      <c r="T20" s="230">
        <f t="shared" si="3"/>
        <v>-7.4450216330188002E-2</v>
      </c>
      <c r="U20" s="26"/>
      <c r="V20" s="26"/>
      <c r="W20" s="245">
        <v>2.5294483629478188</v>
      </c>
      <c r="X20" s="218"/>
      <c r="Z20" s="177"/>
      <c r="AB20"/>
    </row>
    <row r="21" spans="2:28" x14ac:dyDescent="0.3">
      <c r="B21" s="407"/>
      <c r="C21" s="225" t="s">
        <v>16</v>
      </c>
      <c r="D21" s="2" t="s">
        <v>41</v>
      </c>
      <c r="E21" s="156">
        <v>1.3299999999999999E-2</v>
      </c>
      <c r="F21" s="2">
        <v>103</v>
      </c>
      <c r="G21" s="253">
        <f>Summary!G31</f>
        <v>2.6337404218112898E-3</v>
      </c>
      <c r="H21" s="251"/>
      <c r="M21" s="2" t="s">
        <v>199</v>
      </c>
      <c r="N21" s="2" t="s">
        <v>207</v>
      </c>
      <c r="O21" s="2">
        <f>Summary!H9</f>
        <v>9.3856569075211986</v>
      </c>
      <c r="Q21" s="194" t="s">
        <v>251</v>
      </c>
      <c r="R21" s="206">
        <v>3.3225245103566198E-2</v>
      </c>
      <c r="S21" s="209">
        <v>0</v>
      </c>
      <c r="T21" s="230">
        <f t="shared" si="3"/>
        <v>-3.3225245103566198E-2</v>
      </c>
      <c r="U21" s="26"/>
      <c r="V21" s="26"/>
      <c r="W21" s="245">
        <v>2.7037032662981053</v>
      </c>
      <c r="X21" s="218"/>
      <c r="AB21"/>
    </row>
    <row r="22" spans="2:28" ht="15" thickBot="1" x14ac:dyDescent="0.35">
      <c r="B22" s="407"/>
      <c r="C22" s="225" t="s">
        <v>17</v>
      </c>
      <c r="D22" s="2" t="s">
        <v>41</v>
      </c>
      <c r="E22" s="156">
        <v>1.9300000000000001E-2</v>
      </c>
      <c r="F22" s="2">
        <v>456.2</v>
      </c>
      <c r="G22" s="253">
        <f>Summary!G30</f>
        <v>3.3536285278227322E-2</v>
      </c>
      <c r="H22" s="251">
        <f>X23</f>
        <v>83654.466177637951</v>
      </c>
      <c r="M22" s="2" t="s">
        <v>200</v>
      </c>
      <c r="N22" s="2" t="s">
        <v>207</v>
      </c>
      <c r="O22" s="2">
        <f>Summary!H10</f>
        <v>3.527925866922148</v>
      </c>
      <c r="Q22" s="194" t="s">
        <v>252</v>
      </c>
      <c r="R22" s="206">
        <v>0.52272016809527799</v>
      </c>
      <c r="S22" s="206">
        <f>Dashboard!AJ154</f>
        <v>0</v>
      </c>
      <c r="T22" s="230">
        <f t="shared" si="3"/>
        <v>-0.52272016809527799</v>
      </c>
      <c r="U22" s="213"/>
      <c r="V22" s="26"/>
      <c r="W22" s="245">
        <f>O11</f>
        <v>2.2177937329965753</v>
      </c>
      <c r="X22" s="218"/>
      <c r="Y22" s="119">
        <v>0.66549999999999998</v>
      </c>
      <c r="AB22"/>
    </row>
    <row r="23" spans="2:28" ht="28.8" x14ac:dyDescent="0.3">
      <c r="B23" s="421" t="s">
        <v>34</v>
      </c>
      <c r="C23" s="2" t="s">
        <v>19</v>
      </c>
      <c r="D23" s="2" t="s">
        <v>43</v>
      </c>
      <c r="E23" s="183">
        <v>726.36</v>
      </c>
      <c r="F23" s="160">
        <v>720</v>
      </c>
      <c r="G23" s="252">
        <f>Summary!D27</f>
        <v>725.00252865981031</v>
      </c>
      <c r="H23" s="251">
        <f>(E23-G23)*O23*(W8/$W$6)</f>
        <v>81.419735857506609</v>
      </c>
      <c r="M23" s="2" t="s">
        <v>201</v>
      </c>
      <c r="N23" s="2" t="s">
        <v>206</v>
      </c>
      <c r="O23" s="2">
        <f>Summary!D26</f>
        <v>1.5727457911855423</v>
      </c>
      <c r="Q23" s="194" t="s">
        <v>17</v>
      </c>
      <c r="R23" s="206">
        <v>1.9325019417479199E-2</v>
      </c>
      <c r="S23" s="206">
        <f>Dashboard!AJ157</f>
        <v>0</v>
      </c>
      <c r="T23" s="214">
        <f t="shared" si="3"/>
        <v>-1.9325019417479199E-2</v>
      </c>
      <c r="U23" s="215" t="s">
        <v>259</v>
      </c>
      <c r="V23" s="26"/>
      <c r="W23" s="245">
        <f>O25</f>
        <v>0.81180402076009184</v>
      </c>
      <c r="X23" s="218">
        <f>V49</f>
        <v>83654.466177637951</v>
      </c>
      <c r="AB23"/>
    </row>
    <row r="24" spans="2:28" ht="14.55" customHeight="1" thickBot="1" x14ac:dyDescent="0.35">
      <c r="B24" s="422"/>
      <c r="C24" s="2" t="s">
        <v>20</v>
      </c>
      <c r="D24" s="2" t="s">
        <v>43</v>
      </c>
      <c r="E24" s="183">
        <v>727.59</v>
      </c>
      <c r="F24" s="160">
        <v>737</v>
      </c>
      <c r="G24" s="252">
        <f>Summary!E27</f>
        <v>734.43686000795162</v>
      </c>
      <c r="H24" s="251">
        <f>(E24-G24)*O24*(W9/$W$6)</f>
        <v>-486.18229832650786</v>
      </c>
      <c r="M24" s="2" t="s">
        <v>202</v>
      </c>
      <c r="N24" s="2" t="s">
        <v>206</v>
      </c>
      <c r="O24" s="2">
        <f>Summary!E26</f>
        <v>1.6459189511654133</v>
      </c>
      <c r="Q24" s="195" t="s">
        <v>253</v>
      </c>
      <c r="R24" s="207">
        <v>1.3272434158282101E-2</v>
      </c>
      <c r="S24" s="207">
        <f>Dashboard!AJ156</f>
        <v>0</v>
      </c>
      <c r="T24" s="231">
        <f t="shared" si="3"/>
        <v>-1.3272434158282101E-2</v>
      </c>
      <c r="U24" s="199"/>
      <c r="V24" s="199"/>
      <c r="W24" s="246">
        <f>O26</f>
        <v>0.01</v>
      </c>
      <c r="X24" s="167"/>
      <c r="AB24"/>
    </row>
    <row r="25" spans="2:28" ht="15" thickBot="1" x14ac:dyDescent="0.35">
      <c r="B25" s="422"/>
      <c r="C25" s="2" t="s">
        <v>18</v>
      </c>
      <c r="D25" s="2" t="s">
        <v>43</v>
      </c>
      <c r="E25" s="159">
        <v>22.483841904539105</v>
      </c>
      <c r="F25" s="159">
        <v>24.8</v>
      </c>
      <c r="G25" s="159">
        <v>26.5</v>
      </c>
      <c r="H25" s="251">
        <f>(G25-E25)*(O21-O20)*(W10/W6)</f>
        <v>2695.7348209830143</v>
      </c>
      <c r="K25" s="182"/>
      <c r="L25" s="182"/>
      <c r="M25" s="2" t="s">
        <v>17</v>
      </c>
      <c r="N25" s="2" t="s">
        <v>206</v>
      </c>
      <c r="O25" s="2">
        <f>Summary!H30</f>
        <v>0.81180402076009184</v>
      </c>
      <c r="W25" s="220" t="s">
        <v>230</v>
      </c>
      <c r="X25" s="212">
        <f>SUM(X14:X24)</f>
        <v>65113.765701399476</v>
      </c>
    </row>
    <row r="26" spans="2:28" ht="15" thickBot="1" x14ac:dyDescent="0.35">
      <c r="B26" s="422"/>
      <c r="C26" s="2" t="s">
        <v>21</v>
      </c>
      <c r="D26" s="2" t="s">
        <v>44</v>
      </c>
      <c r="E26" s="159">
        <v>71.069999999999993</v>
      </c>
      <c r="F26" s="172">
        <v>70.8</v>
      </c>
      <c r="G26" s="159">
        <f>Summary!D28</f>
        <v>63.77</v>
      </c>
      <c r="H26" s="251">
        <f>(E26-G26)*O30*(W4/W6)</f>
        <v>43.361729823955002</v>
      </c>
      <c r="M26" s="2" t="s">
        <v>16</v>
      </c>
      <c r="N26" s="2" t="s">
        <v>206</v>
      </c>
      <c r="O26" s="185">
        <f>Summary!H31</f>
        <v>0.01</v>
      </c>
    </row>
    <row r="27" spans="2:28" ht="15" thickBot="1" x14ac:dyDescent="0.35">
      <c r="B27" s="423"/>
      <c r="C27" s="2" t="s">
        <v>22</v>
      </c>
      <c r="D27" s="2" t="s">
        <v>44</v>
      </c>
      <c r="E27" s="159">
        <v>76.02</v>
      </c>
      <c r="F27" s="159">
        <v>76.8</v>
      </c>
      <c r="G27" s="159">
        <f>Summary!E28</f>
        <v>71.84</v>
      </c>
      <c r="H27" s="251">
        <f>(E27-G27)*O31*(W5/W6)</f>
        <v>5.2955180632305838</v>
      </c>
      <c r="M27" s="2" t="s">
        <v>12</v>
      </c>
      <c r="N27" s="2" t="s">
        <v>187</v>
      </c>
      <c r="O27" s="2"/>
      <c r="Q27" s="192" t="s">
        <v>236</v>
      </c>
      <c r="R27" s="187" t="s">
        <v>234</v>
      </c>
      <c r="S27" s="187" t="s">
        <v>255</v>
      </c>
      <c r="T27" s="188" t="s">
        <v>235</v>
      </c>
      <c r="U27" s="186" t="s">
        <v>255</v>
      </c>
    </row>
    <row r="28" spans="2:28" x14ac:dyDescent="0.3">
      <c r="B28" s="406" t="s">
        <v>35</v>
      </c>
      <c r="C28" s="2" t="s">
        <v>27</v>
      </c>
      <c r="D28" s="2" t="s">
        <v>45</v>
      </c>
      <c r="E28" s="156">
        <v>4.6150737714715423E-2</v>
      </c>
      <c r="F28" s="171">
        <v>0.13900000000000001</v>
      </c>
      <c r="G28" s="156">
        <f>Summary!G35</f>
        <v>6.7023372564274972E-2</v>
      </c>
      <c r="H28" s="251">
        <f>(E28-G28)*(O16-O17)*(W10/W6)</f>
        <v>-945.44401760706387</v>
      </c>
      <c r="M28" s="2" t="s">
        <v>13</v>
      </c>
      <c r="N28" s="2" t="s">
        <v>187</v>
      </c>
      <c r="O28" s="2">
        <f>Summary!H15</f>
        <v>0</v>
      </c>
      <c r="Q28" s="193" t="s">
        <v>244</v>
      </c>
      <c r="R28" s="210">
        <f>R14</f>
        <v>0.16321652393386099</v>
      </c>
      <c r="S28" s="196">
        <v>1.6253280782358464</v>
      </c>
      <c r="T28" s="181">
        <f>S14</f>
        <v>0</v>
      </c>
      <c r="U28" s="143">
        <f>O13</f>
        <v>1.7648313613277313</v>
      </c>
    </row>
    <row r="29" spans="2:28" x14ac:dyDescent="0.3">
      <c r="B29" s="407"/>
      <c r="C29" s="2" t="s">
        <v>242</v>
      </c>
      <c r="D29" s="2"/>
      <c r="E29" s="156">
        <v>5.0099999999999999E-2</v>
      </c>
      <c r="F29" s="171">
        <v>0</v>
      </c>
      <c r="G29" s="156">
        <f>Summary!G37</f>
        <v>2.4542232089110522E-2</v>
      </c>
      <c r="H29" s="251">
        <f>(E29-G29)*(O18-O19)*(W10/W6)</f>
        <v>547.83431753954176</v>
      </c>
      <c r="K29" t="s">
        <v>276</v>
      </c>
      <c r="M29" s="2" t="s">
        <v>203</v>
      </c>
      <c r="N29" s="2" t="s">
        <v>208</v>
      </c>
      <c r="O29" s="2">
        <f>Summary!F27</f>
        <v>729.86242303654967</v>
      </c>
      <c r="Q29" s="194" t="s">
        <v>245</v>
      </c>
      <c r="R29" s="210">
        <f t="shared" ref="R29:R38" si="4">R15</f>
        <v>3.6426866138758399E-3</v>
      </c>
      <c r="S29" s="103">
        <v>2.2553519455514262</v>
      </c>
      <c r="T29" s="209">
        <v>0</v>
      </c>
      <c r="U29" s="123"/>
    </row>
    <row r="30" spans="2:28" ht="15" thickBot="1" x14ac:dyDescent="0.35">
      <c r="B30" s="408"/>
      <c r="C30" s="2" t="s">
        <v>29</v>
      </c>
      <c r="D30" s="2" t="s">
        <v>46</v>
      </c>
      <c r="E30" s="2"/>
      <c r="F30" s="2"/>
      <c r="G30" s="2"/>
      <c r="H30" s="183"/>
      <c r="M30" s="2" t="s">
        <v>240</v>
      </c>
      <c r="N30" s="2" t="s">
        <v>207</v>
      </c>
      <c r="O30" s="2">
        <f>Summary!D11</f>
        <v>7.6</v>
      </c>
      <c r="Q30" s="194" t="s">
        <v>246</v>
      </c>
      <c r="R30" s="210">
        <f t="shared" si="4"/>
        <v>0.11832016077428099</v>
      </c>
      <c r="S30" s="103">
        <v>1.6065492638117782</v>
      </c>
      <c r="T30" s="180">
        <f t="shared" ref="T30:T38" si="5">S16</f>
        <v>0</v>
      </c>
      <c r="U30" s="123">
        <f>O12</f>
        <v>1.4623673600684959</v>
      </c>
    </row>
    <row r="31" spans="2:28" x14ac:dyDescent="0.3">
      <c r="B31" s="406" t="s">
        <v>219</v>
      </c>
      <c r="C31" s="2" t="s">
        <v>28</v>
      </c>
      <c r="D31" s="2"/>
      <c r="E31" s="171">
        <v>0.124</v>
      </c>
      <c r="F31" s="174">
        <v>0.19</v>
      </c>
      <c r="G31" s="156">
        <f>Summary!G33</f>
        <v>3.747118881658263E-2</v>
      </c>
      <c r="H31" s="232">
        <f>(E31-G31)*O33/W6</f>
        <v>5.2770485859634229E-4</v>
      </c>
      <c r="M31" s="2" t="s">
        <v>241</v>
      </c>
      <c r="N31" s="2" t="s">
        <v>207</v>
      </c>
      <c r="O31" s="2">
        <f>Summary!E11</f>
        <v>5.8</v>
      </c>
      <c r="Q31" s="194" t="s">
        <v>247</v>
      </c>
      <c r="R31" s="210">
        <f t="shared" si="4"/>
        <v>8.4114955048107693E-3</v>
      </c>
      <c r="S31" s="103">
        <v>1.503877782023378</v>
      </c>
      <c r="T31" s="209">
        <v>0</v>
      </c>
      <c r="U31" s="123"/>
      <c r="Y31" s="177"/>
      <c r="Z31" s="177"/>
      <c r="AA31" s="177"/>
    </row>
    <row r="32" spans="2:28" x14ac:dyDescent="0.3">
      <c r="B32" s="407"/>
      <c r="C32" s="2" t="s">
        <v>31</v>
      </c>
      <c r="D32" s="2" t="s">
        <v>47</v>
      </c>
      <c r="E32" s="2"/>
      <c r="F32" s="2"/>
      <c r="G32" s="2"/>
      <c r="H32" s="183">
        <v>2.2991459114746862</v>
      </c>
      <c r="M32" s="2" t="s">
        <v>204</v>
      </c>
      <c r="N32" s="2" t="s">
        <v>207</v>
      </c>
      <c r="O32" s="2">
        <f>Summary!H11</f>
        <v>6.5660875503360279</v>
      </c>
      <c r="Q32" s="194" t="s">
        <v>248</v>
      </c>
      <c r="R32" s="210">
        <f t="shared" si="4"/>
        <v>2.06331711270334E-2</v>
      </c>
      <c r="S32" s="103">
        <v>2.5294483629478188</v>
      </c>
      <c r="T32" s="180">
        <f t="shared" si="5"/>
        <v>0</v>
      </c>
      <c r="U32" s="123">
        <f>O14</f>
        <v>1.9963440984074781</v>
      </c>
      <c r="Y32" s="177"/>
      <c r="Z32" s="177"/>
      <c r="AA32" s="177"/>
    </row>
    <row r="33" spans="2:27" ht="15" thickBot="1" x14ac:dyDescent="0.35">
      <c r="B33" s="408"/>
      <c r="C33" s="2" t="s">
        <v>32</v>
      </c>
      <c r="D33" s="2" t="s">
        <v>48</v>
      </c>
      <c r="E33" s="2"/>
      <c r="F33" s="2"/>
      <c r="G33" s="2"/>
      <c r="H33" s="225">
        <v>0</v>
      </c>
      <c r="M33" s="3" t="s">
        <v>205</v>
      </c>
      <c r="N33" s="3" t="s">
        <v>187</v>
      </c>
      <c r="O33" s="3">
        <v>32</v>
      </c>
      <c r="Q33" s="194" t="s">
        <v>249</v>
      </c>
      <c r="R33" s="210">
        <f t="shared" si="4"/>
        <v>2.27828789413447E-2</v>
      </c>
      <c r="S33" s="103">
        <v>1.9316454337975097</v>
      </c>
      <c r="T33" s="209">
        <v>0</v>
      </c>
      <c r="U33" s="123"/>
    </row>
    <row r="34" spans="2:27" ht="15" thickBot="1" x14ac:dyDescent="0.35">
      <c r="C34" s="3" t="s">
        <v>26</v>
      </c>
      <c r="D34" s="3"/>
      <c r="E34" s="3"/>
      <c r="F34" s="3"/>
      <c r="G34" s="3"/>
      <c r="H34" s="228">
        <v>0</v>
      </c>
      <c r="Q34" s="194" t="s">
        <v>250</v>
      </c>
      <c r="R34" s="210">
        <f t="shared" si="4"/>
        <v>7.4450216330188002E-2</v>
      </c>
      <c r="S34" s="103">
        <f>S32</f>
        <v>2.5294483629478188</v>
      </c>
      <c r="T34" s="209">
        <v>0</v>
      </c>
      <c r="U34" s="123"/>
      <c r="Y34" s="177"/>
      <c r="Z34" s="177"/>
      <c r="AA34" s="177"/>
    </row>
    <row r="35" spans="2:27" ht="15" thickBot="1" x14ac:dyDescent="0.35">
      <c r="Q35" s="194" t="s">
        <v>251</v>
      </c>
      <c r="R35" s="210">
        <f t="shared" si="4"/>
        <v>3.3225245103566198E-2</v>
      </c>
      <c r="S35" s="103">
        <v>2.7037032662981053</v>
      </c>
      <c r="T35" s="209">
        <v>0</v>
      </c>
      <c r="U35" s="123"/>
      <c r="X35" s="397" t="s">
        <v>260</v>
      </c>
      <c r="Y35" s="398"/>
      <c r="Z35" s="399"/>
    </row>
    <row r="36" spans="2:27" ht="21.6" thickBot="1" x14ac:dyDescent="0.45">
      <c r="C36" t="s">
        <v>277</v>
      </c>
      <c r="G36" s="175" t="s">
        <v>230</v>
      </c>
      <c r="H36" s="176">
        <f>SUM(H4:H34)</f>
        <v>67057.0813118324</v>
      </c>
      <c r="K36" s="182">
        <f>H36-H32</f>
        <v>67054.782165920929</v>
      </c>
      <c r="Q36" s="194" t="s">
        <v>252</v>
      </c>
      <c r="R36" s="210">
        <f t="shared" si="4"/>
        <v>0.52272016809527799</v>
      </c>
      <c r="S36" s="211">
        <v>2.2679095541344996</v>
      </c>
      <c r="T36" s="180">
        <f t="shared" si="5"/>
        <v>0</v>
      </c>
      <c r="U36" s="123">
        <f>O11</f>
        <v>2.2177937329965753</v>
      </c>
      <c r="X36" s="142" t="s">
        <v>261</v>
      </c>
      <c r="Y36" s="99" t="s">
        <v>263</v>
      </c>
      <c r="Z36" s="143" t="s">
        <v>262</v>
      </c>
    </row>
    <row r="37" spans="2:27" x14ac:dyDescent="0.3">
      <c r="Q37" s="194" t="s">
        <v>17</v>
      </c>
      <c r="R37" s="210">
        <f t="shared" si="4"/>
        <v>1.9325019417479199E-2</v>
      </c>
      <c r="S37" s="103">
        <v>0.97724206818086168</v>
      </c>
      <c r="T37" s="180">
        <f t="shared" si="5"/>
        <v>0</v>
      </c>
      <c r="U37" s="123">
        <f>O25</f>
        <v>0.81180402076009184</v>
      </c>
      <c r="X37" s="122" t="str">
        <f>Q22</f>
        <v>Imported Pet Coke (saudi)</v>
      </c>
      <c r="Y37" s="180">
        <v>0.27210000000000001</v>
      </c>
      <c r="Z37" s="123">
        <f>Y37*(W22-$W$16)*$O$29*($W$10/$W$6)</f>
        <v>12193.732474594106</v>
      </c>
    </row>
    <row r="38" spans="2:27" ht="15" thickBot="1" x14ac:dyDescent="0.35">
      <c r="H38" s="182">
        <f>H36-H32</f>
        <v>67054.782165920929</v>
      </c>
      <c r="Q38" s="195" t="s">
        <v>253</v>
      </c>
      <c r="R38" s="222">
        <f t="shared" si="4"/>
        <v>1.3272434158282101E-2</v>
      </c>
      <c r="S38" s="197">
        <v>-0.19107984391921232</v>
      </c>
      <c r="T38" s="216">
        <f t="shared" si="5"/>
        <v>0</v>
      </c>
      <c r="U38" s="123">
        <f>O26</f>
        <v>0.01</v>
      </c>
      <c r="X38" s="122" t="str">
        <f>Q15</f>
        <v>E-Auction Coal</v>
      </c>
      <c r="Y38" s="206">
        <f>-T15</f>
        <v>3.6426866138758399E-3</v>
      </c>
      <c r="Z38" s="123">
        <f>Y38*(W15-$W$16)*$O$29*($W$10/$W$6)</f>
        <v>171.35726953470379</v>
      </c>
    </row>
    <row r="39" spans="2:27" ht="15" thickBot="1" x14ac:dyDescent="0.35">
      <c r="G39">
        <v>405.17</v>
      </c>
      <c r="H39">
        <v>374.83</v>
      </c>
      <c r="S39" s="221">
        <f>((R28*S28)+(R29*S29)+(R30*S30)+(R31*S31)+(R32*S32)+(R33*S33)+(R34*S34)+(R35*S35)+(R36*S36)+(R37*S37)+(R38*S38))</f>
        <v>2.0524123251036146</v>
      </c>
      <c r="U39" s="223">
        <f>((T28*U28)+(T30*U30)+(T32*U32)+(T36*U36)+(T37*U37)+(T38*U38))</f>
        <v>0</v>
      </c>
      <c r="X39" s="122" t="str">
        <f>Q17</f>
        <v xml:space="preserve">Indian Pet coke </v>
      </c>
      <c r="Y39" s="206">
        <f>-T17</f>
        <v>8.4114955048107693E-3</v>
      </c>
      <c r="Z39" s="123">
        <f>Y39*(W17-$W$16)*$O$29*($W$10/$W$6)</f>
        <v>20.713159212710362</v>
      </c>
    </row>
    <row r="40" spans="2:27" x14ac:dyDescent="0.3">
      <c r="X40" s="122" t="str">
        <f>Q21</f>
        <v>Fluid Pet Coke</v>
      </c>
      <c r="Y40" s="206">
        <f>-T21</f>
        <v>3.3225245103566198E-2</v>
      </c>
      <c r="Z40" s="123">
        <f>Y40*(W21-$W$16)*$O$29*($W$10/$W$6)</f>
        <v>2446.6592539187523</v>
      </c>
    </row>
    <row r="41" spans="2:27" ht="15" thickBot="1" x14ac:dyDescent="0.35">
      <c r="X41" s="140" t="str">
        <f>Q19</f>
        <v>Indian Petcoke Hi-Sulphur</v>
      </c>
      <c r="Y41" s="207">
        <f>-SUM(Y37:Y40)+T16</f>
        <v>-0.43569958799653385</v>
      </c>
      <c r="Z41" s="124">
        <f>Y41*(W19-$W$16)*$O$29*($W$10/$W$6)</f>
        <v>-12129.234441504903</v>
      </c>
    </row>
    <row r="42" spans="2:27" ht="15" thickBot="1" x14ac:dyDescent="0.35">
      <c r="Z42" s="233">
        <f>SUM(Z37:Z41)</f>
        <v>2703.2277157553672</v>
      </c>
    </row>
    <row r="43" spans="2:27" x14ac:dyDescent="0.3">
      <c r="H43" s="182">
        <v>361.52587776492976</v>
      </c>
    </row>
    <row r="44" spans="2:27" ht="15" thickBot="1" x14ac:dyDescent="0.35"/>
    <row r="45" spans="2:27" ht="15" thickBot="1" x14ac:dyDescent="0.35">
      <c r="T45" s="397" t="s">
        <v>17</v>
      </c>
      <c r="U45" s="398"/>
      <c r="V45" s="399"/>
      <c r="X45" s="400" t="s">
        <v>264</v>
      </c>
      <c r="Y45" s="401"/>
      <c r="Z45" s="402"/>
    </row>
    <row r="46" spans="2:27" x14ac:dyDescent="0.3">
      <c r="T46" s="142" t="s">
        <v>261</v>
      </c>
      <c r="U46" s="99" t="s">
        <v>263</v>
      </c>
      <c r="V46" s="143" t="s">
        <v>262</v>
      </c>
      <c r="X46" s="142" t="s">
        <v>261</v>
      </c>
      <c r="Y46" s="99" t="s">
        <v>263</v>
      </c>
      <c r="Z46" s="143" t="s">
        <v>262</v>
      </c>
    </row>
    <row r="47" spans="2:27" x14ac:dyDescent="0.3">
      <c r="T47" s="122" t="str">
        <f>Q20</f>
        <v>Imp. Pet Coke (Low Sulphur)</v>
      </c>
      <c r="U47" s="180">
        <f>-T20-Y48</f>
        <v>0.55356585439509987</v>
      </c>
      <c r="V47" s="243">
        <f>U47*(W20-W23)*O29*(W10/W6)</f>
        <v>56405.118388121358</v>
      </c>
      <c r="X47" s="122" t="str">
        <f>Q19</f>
        <v>Indian Petcoke Hi-Sulphur</v>
      </c>
      <c r="Y47" s="180">
        <f>-T19-Y41</f>
        <v>0.45848246693787853</v>
      </c>
      <c r="Z47" s="123">
        <f>Y47*(W19-$W$18)*$O$29*($W$10/$W$6)</f>
        <v>-2947.0393058307218</v>
      </c>
    </row>
    <row r="48" spans="2:27" ht="15" thickBot="1" x14ac:dyDescent="0.35">
      <c r="T48" s="140" t="str">
        <f>Q24</f>
        <v>AFR (LIQUID) - HCV</v>
      </c>
      <c r="U48" s="216">
        <f>T23-U47</f>
        <v>-0.57289087381257908</v>
      </c>
      <c r="V48" s="124">
        <f>U48*(W24-W23)*O29*(W10/W6)</f>
        <v>27249.3477895166</v>
      </c>
      <c r="X48" s="140" t="str">
        <f>Q20</f>
        <v>Imp. Pet Coke (Low Sulphur)</v>
      </c>
      <c r="Y48" s="216">
        <f>T18-Y47</f>
        <v>-0.47911563806491192</v>
      </c>
      <c r="Z48" s="124">
        <f>Y48*(W20-$W$18)*$O$29*($W$10/$W$6)</f>
        <v>-13911.155483529998</v>
      </c>
    </row>
    <row r="49" spans="22:26" ht="15" thickBot="1" x14ac:dyDescent="0.35">
      <c r="V49" s="234">
        <f>SUM(V47:V48)</f>
        <v>83654.466177637951</v>
      </c>
      <c r="Z49" s="234">
        <f>SUM(Z47:Z48)</f>
        <v>-16858.194789360721</v>
      </c>
    </row>
    <row r="51" spans="22:26" x14ac:dyDescent="0.3">
      <c r="V51" s="182"/>
    </row>
  </sheetData>
  <mergeCells count="14">
    <mergeCell ref="X35:Z35"/>
    <mergeCell ref="X45:Z45"/>
    <mergeCell ref="T45:V45"/>
    <mergeCell ref="S12:V12"/>
    <mergeCell ref="B28:B30"/>
    <mergeCell ref="B31:B33"/>
    <mergeCell ref="B4:B12"/>
    <mergeCell ref="B13:B19"/>
    <mergeCell ref="S8:V8"/>
    <mergeCell ref="S9:V9"/>
    <mergeCell ref="S10:V10"/>
    <mergeCell ref="B20:B22"/>
    <mergeCell ref="B23:B27"/>
    <mergeCell ref="F13:F1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V51"/>
  <sheetViews>
    <sheetView topLeftCell="B12" zoomScale="60" zoomScaleNormal="72" workbookViewId="0">
      <pane xSplit="2" topLeftCell="D1" activePane="topRight" state="frozen"/>
      <selection activeCell="B1" sqref="B1"/>
      <selection pane="topRight" activeCell="E13" sqref="E13:E22"/>
    </sheetView>
  </sheetViews>
  <sheetFormatPr defaultRowHeight="14.4" x14ac:dyDescent="0.3"/>
  <cols>
    <col min="2" max="2" width="12.21875" customWidth="1"/>
    <col min="3" max="3" width="32.21875" bestFit="1" customWidth="1"/>
    <col min="4" max="4" width="20.109375" bestFit="1" customWidth="1"/>
    <col min="5" max="5" width="11" bestFit="1" customWidth="1"/>
    <col min="6" max="6" width="10.21875" bestFit="1" customWidth="1"/>
    <col min="7" max="7" width="11.77734375" bestFit="1" customWidth="1"/>
    <col min="8" max="8" width="17.77734375" bestFit="1" customWidth="1"/>
    <col min="9" max="10" width="17.77734375" hidden="1" customWidth="1"/>
    <col min="13" max="13" width="17.5546875" bestFit="1" customWidth="1"/>
    <col min="17" max="17" width="25.77734375" bestFit="1" customWidth="1"/>
    <col min="20" max="20" width="24.5546875" bestFit="1" customWidth="1"/>
    <col min="21" max="21" width="17.77734375" bestFit="1" customWidth="1"/>
    <col min="23" max="23" width="9.88671875" bestFit="1" customWidth="1"/>
    <col min="24" max="24" width="13.77734375" bestFit="1" customWidth="1"/>
    <col min="25" max="26" width="11.33203125" customWidth="1"/>
    <col min="27" max="27" width="25.77734375" bestFit="1" customWidth="1"/>
    <col min="28" max="28" width="12.109375" style="6" customWidth="1"/>
    <col min="29" max="29" width="13.44140625" customWidth="1"/>
    <col min="31" max="31" width="11.5546875" bestFit="1" customWidth="1"/>
    <col min="32" max="32" width="8.44140625" customWidth="1"/>
    <col min="33" max="33" width="10" customWidth="1"/>
    <col min="34" max="34" width="10.77734375" customWidth="1"/>
  </cols>
  <sheetData>
    <row r="1" spans="2:48" ht="15" thickBot="1" x14ac:dyDescent="0.35"/>
    <row r="2" spans="2:48" ht="15" thickBot="1" x14ac:dyDescent="0.35">
      <c r="C2" s="4" t="s">
        <v>3</v>
      </c>
      <c r="D2" s="4" t="s">
        <v>4</v>
      </c>
      <c r="E2" s="4" t="s">
        <v>0</v>
      </c>
      <c r="F2" s="4" t="s">
        <v>1</v>
      </c>
      <c r="G2" s="4" t="s">
        <v>2</v>
      </c>
      <c r="H2" s="178" t="s">
        <v>5</v>
      </c>
      <c r="I2" s="161" t="s">
        <v>220</v>
      </c>
      <c r="J2" s="161" t="s">
        <v>221</v>
      </c>
    </row>
    <row r="3" spans="2:48" ht="15" thickBot="1" x14ac:dyDescent="0.35">
      <c r="C3" s="1"/>
      <c r="D3" s="1"/>
      <c r="E3" s="1"/>
      <c r="F3" s="1"/>
      <c r="G3" s="1"/>
      <c r="H3" s="1"/>
      <c r="M3" s="4" t="s">
        <v>3</v>
      </c>
      <c r="N3" s="4" t="s">
        <v>4</v>
      </c>
      <c r="O3" s="4" t="s">
        <v>51</v>
      </c>
      <c r="Q3" s="162"/>
      <c r="R3" s="162"/>
      <c r="S3" s="163" t="s">
        <v>209</v>
      </c>
      <c r="T3" s="164" t="s">
        <v>210</v>
      </c>
      <c r="U3" s="164" t="s">
        <v>211</v>
      </c>
      <c r="V3" s="165" t="s">
        <v>212</v>
      </c>
      <c r="W3" s="4" t="s">
        <v>213</v>
      </c>
    </row>
    <row r="4" spans="2:48" ht="15" thickBot="1" x14ac:dyDescent="0.35">
      <c r="B4" s="409" t="s">
        <v>37</v>
      </c>
      <c r="C4" s="2" t="s">
        <v>6</v>
      </c>
      <c r="D4" s="2" t="s">
        <v>38</v>
      </c>
      <c r="E4" s="171">
        <v>0.3262123377437619</v>
      </c>
      <c r="F4" s="173">
        <v>0.33600000000000002</v>
      </c>
      <c r="G4" s="250">
        <f>Summary!G6</f>
        <v>0.33176197013987752</v>
      </c>
      <c r="H4" s="251">
        <f>(G4-E4)*($O$4-O5)*T7</f>
        <v>6.3008656846945694</v>
      </c>
      <c r="M4" s="1" t="s">
        <v>186</v>
      </c>
      <c r="N4" s="1" t="s">
        <v>188</v>
      </c>
      <c r="O4" s="1">
        <f>Summary!H29</f>
        <v>1998.8263152724808</v>
      </c>
      <c r="Q4" s="4" t="s">
        <v>63</v>
      </c>
      <c r="R4" s="138" t="s">
        <v>58</v>
      </c>
      <c r="S4" s="125">
        <f>Dashboard!AJ100</f>
        <v>0</v>
      </c>
      <c r="T4" s="99">
        <f>Dashboard!AJ96+Dashboard!AJ97</f>
        <v>4101</v>
      </c>
      <c r="U4" s="99" t="b">
        <f>Dashboard!AJ98</f>
        <v>1</v>
      </c>
      <c r="V4" s="139">
        <f>Dashboard!AJ99</f>
        <v>0</v>
      </c>
      <c r="W4" s="144">
        <f>SUM(S4:V4)</f>
        <v>4101</v>
      </c>
      <c r="Y4">
        <f>SUM(T6:V6)</f>
        <v>5247.1034002500819</v>
      </c>
    </row>
    <row r="5" spans="2:48" ht="15" thickBot="1" x14ac:dyDescent="0.35">
      <c r="B5" s="410"/>
      <c r="C5" s="2" t="s">
        <v>7</v>
      </c>
      <c r="D5" s="2" t="s">
        <v>38</v>
      </c>
      <c r="E5" s="171">
        <v>0.27162679257965888</v>
      </c>
      <c r="F5" s="173">
        <v>0.28399999999999997</v>
      </c>
      <c r="G5" s="250">
        <f>Summary!G7</f>
        <v>0.27871973347611401</v>
      </c>
      <c r="H5" s="251">
        <f>(G5-E5)*($O$4-O5)*U7</f>
        <v>0</v>
      </c>
      <c r="M5" s="2" t="s">
        <v>189</v>
      </c>
      <c r="N5" s="2" t="s">
        <v>188</v>
      </c>
      <c r="O5" s="2">
        <f>Summary!H6</f>
        <v>863.46</v>
      </c>
      <c r="Q5" s="133"/>
      <c r="R5" s="137" t="s">
        <v>59</v>
      </c>
      <c r="S5" s="135">
        <f>Dashboard!AJ103</f>
        <v>0</v>
      </c>
      <c r="T5" s="129">
        <f>Dashboard!AJ101+Dashboard!AJ102</f>
        <v>1146.1034002500814</v>
      </c>
      <c r="U5" s="129"/>
      <c r="V5" s="130"/>
      <c r="W5" s="144">
        <f>SUM(S5:V5)</f>
        <v>1146.1034002500814</v>
      </c>
      <c r="Y5" s="111">
        <f>T6/Y4</f>
        <v>1</v>
      </c>
      <c r="Z5" s="111"/>
      <c r="AA5" s="111"/>
    </row>
    <row r="6" spans="2:48" ht="15" thickBot="1" x14ac:dyDescent="0.35">
      <c r="B6" s="410"/>
      <c r="C6" s="2" t="s">
        <v>8</v>
      </c>
      <c r="D6" s="2" t="s">
        <v>38</v>
      </c>
      <c r="E6" s="156">
        <v>0.29799999999999999</v>
      </c>
      <c r="F6" s="173">
        <v>0.311</v>
      </c>
      <c r="G6" s="250">
        <f>Summary!G8</f>
        <v>0.30184172263380182</v>
      </c>
      <c r="H6" s="251">
        <f>(G6-E6)*($O$4-O5)*V7</f>
        <v>0</v>
      </c>
      <c r="M6" s="2" t="s">
        <v>190</v>
      </c>
      <c r="N6" s="2" t="s">
        <v>188</v>
      </c>
      <c r="O6" s="2">
        <f>Summary!H19</f>
        <v>447.88351524652012</v>
      </c>
      <c r="Q6" s="133"/>
      <c r="R6" s="127" t="s">
        <v>213</v>
      </c>
      <c r="S6" s="136">
        <f>SUM(S4:S5)</f>
        <v>0</v>
      </c>
      <c r="T6" s="131">
        <f t="shared" ref="T6:V6" si="0">SUM(T4:T5)</f>
        <v>5247.1034002500819</v>
      </c>
      <c r="U6" s="131">
        <f t="shared" si="0"/>
        <v>0</v>
      </c>
      <c r="V6" s="132">
        <f t="shared" si="0"/>
        <v>0</v>
      </c>
      <c r="W6" s="128">
        <f>SUM(S6:V6)</f>
        <v>5247.1034002500819</v>
      </c>
      <c r="Y6" s="111">
        <f>U6/Y4</f>
        <v>0</v>
      </c>
      <c r="Z6" s="111"/>
      <c r="AA6" s="111"/>
    </row>
    <row r="7" spans="2:48" ht="15" thickBot="1" x14ac:dyDescent="0.35">
      <c r="B7" s="410"/>
      <c r="C7" s="2" t="s">
        <v>36</v>
      </c>
      <c r="D7" s="2" t="s">
        <v>38</v>
      </c>
      <c r="E7" s="171">
        <v>0.13243099945127981</v>
      </c>
      <c r="F7" s="173">
        <v>0.24</v>
      </c>
      <c r="G7" s="250">
        <f>Summary!G19</f>
        <v>0.1830995670995671</v>
      </c>
      <c r="H7" s="251">
        <f>(G4*Y5+G5*Y6+G6*Y7)*(G7-E7)*SUM(T7:V7)*(O5-O6)</f>
        <v>6.9858007415358232</v>
      </c>
      <c r="M7" s="2" t="s">
        <v>191</v>
      </c>
      <c r="N7" s="2" t="s">
        <v>188</v>
      </c>
      <c r="O7" s="2">
        <f>Summary!H20</f>
        <v>634.79936123758864</v>
      </c>
      <c r="Q7" s="133"/>
      <c r="R7" s="126" t="s">
        <v>66</v>
      </c>
      <c r="S7" s="147">
        <f>S6/$W$6</f>
        <v>0</v>
      </c>
      <c r="T7" s="147">
        <f t="shared" ref="T7:V7" si="1">T6/$W$6</f>
        <v>1</v>
      </c>
      <c r="U7" s="147">
        <f t="shared" si="1"/>
        <v>0</v>
      </c>
      <c r="V7" s="147">
        <f t="shared" si="1"/>
        <v>0</v>
      </c>
      <c r="W7" s="146">
        <f>SUM(S7:V7)</f>
        <v>1</v>
      </c>
      <c r="Y7" s="111">
        <f>V6/Y4</f>
        <v>0</v>
      </c>
      <c r="Z7" s="111"/>
      <c r="AA7" s="111"/>
    </row>
    <row r="8" spans="2:48" ht="15" thickBot="1" x14ac:dyDescent="0.35">
      <c r="B8" s="410"/>
      <c r="C8" s="2" t="s">
        <v>9</v>
      </c>
      <c r="D8" s="2" t="s">
        <v>39</v>
      </c>
      <c r="E8" s="171">
        <v>3.8695230564929205E-2</v>
      </c>
      <c r="F8" s="173">
        <v>4.4999999999999998E-2</v>
      </c>
      <c r="G8" s="250">
        <f>Summary!G20</f>
        <v>4.8985296049881152E-2</v>
      </c>
      <c r="H8" s="251">
        <f>(G8-E8)*S7*(O4-O7)</f>
        <v>0</v>
      </c>
      <c r="M8" s="2" t="s">
        <v>192</v>
      </c>
      <c r="N8" s="2" t="s">
        <v>188</v>
      </c>
      <c r="O8" s="2">
        <f>Summary!H17</f>
        <v>4259.3094727305179</v>
      </c>
      <c r="Q8" s="162" t="s">
        <v>62</v>
      </c>
      <c r="R8" s="138" t="s">
        <v>58</v>
      </c>
      <c r="S8" s="412"/>
      <c r="T8" s="413"/>
      <c r="U8" s="413"/>
      <c r="V8" s="414"/>
      <c r="W8" s="1">
        <f>Summary!D29</f>
        <v>200106</v>
      </c>
    </row>
    <row r="9" spans="2:48" ht="15" thickBot="1" x14ac:dyDescent="0.35">
      <c r="B9" s="410"/>
      <c r="C9" s="2" t="s">
        <v>14</v>
      </c>
      <c r="D9" s="2"/>
      <c r="E9" s="156">
        <v>2.53E-2</v>
      </c>
      <c r="F9" s="156">
        <v>3.1E-2</v>
      </c>
      <c r="G9" s="250">
        <f>Dashboard!AL33</f>
        <v>1.5875983425793799E-2</v>
      </c>
      <c r="H9" s="251">
        <f>(G9-E9)*(O8-O9)*(T7+U7+V7)</f>
        <v>-14.290535943307214</v>
      </c>
      <c r="M9" s="2" t="s">
        <v>267</v>
      </c>
      <c r="N9" s="2" t="s">
        <v>188</v>
      </c>
      <c r="O9" s="2">
        <f>Summary!H18</f>
        <v>2742.9140132381381</v>
      </c>
      <c r="Q9" s="133"/>
      <c r="R9" s="137" t="s">
        <v>59</v>
      </c>
      <c r="S9" s="415"/>
      <c r="T9" s="416"/>
      <c r="U9" s="416"/>
      <c r="V9" s="417"/>
      <c r="W9" s="145">
        <f>Summary!E29</f>
        <v>226370</v>
      </c>
    </row>
    <row r="10" spans="2:48" ht="15" thickBot="1" x14ac:dyDescent="0.35">
      <c r="B10" s="410"/>
      <c r="C10" s="2" t="s">
        <v>232</v>
      </c>
      <c r="D10" s="2" t="s">
        <v>40</v>
      </c>
      <c r="E10" s="156">
        <v>0</v>
      </c>
      <c r="F10" s="2"/>
      <c r="G10" s="156">
        <v>0</v>
      </c>
      <c r="H10" s="183">
        <f>(G10-E10)*(O8-O28)</f>
        <v>0</v>
      </c>
      <c r="M10" s="2" t="s">
        <v>193</v>
      </c>
      <c r="N10" s="2" t="s">
        <v>206</v>
      </c>
      <c r="O10" s="184">
        <v>2.2731619161400847</v>
      </c>
      <c r="Q10" s="134"/>
      <c r="R10" s="127" t="s">
        <v>213</v>
      </c>
      <c r="S10" s="418"/>
      <c r="T10" s="419"/>
      <c r="U10" s="419"/>
      <c r="V10" s="420"/>
      <c r="W10" s="128">
        <f>W8+W9</f>
        <v>426476</v>
      </c>
    </row>
    <row r="11" spans="2:48" ht="15" thickBot="1" x14ac:dyDescent="0.35">
      <c r="B11" s="410"/>
      <c r="C11" s="2" t="s">
        <v>12</v>
      </c>
      <c r="D11" s="2" t="s">
        <v>40</v>
      </c>
      <c r="E11" s="2"/>
      <c r="F11" s="2"/>
      <c r="G11" s="2"/>
      <c r="H11" s="183">
        <v>0</v>
      </c>
      <c r="M11" s="2" t="s">
        <v>10</v>
      </c>
      <c r="N11" s="2" t="s">
        <v>206</v>
      </c>
      <c r="O11" s="2">
        <f>Summary!H21</f>
        <v>2.2177937329965753</v>
      </c>
    </row>
    <row r="12" spans="2:48" ht="16.2" thickBot="1" x14ac:dyDescent="0.35">
      <c r="B12" s="411"/>
      <c r="C12" s="2" t="s">
        <v>233</v>
      </c>
      <c r="D12" s="2" t="s">
        <v>40</v>
      </c>
      <c r="E12" s="2"/>
      <c r="F12" s="2"/>
      <c r="G12" s="2"/>
      <c r="H12" s="183">
        <v>0</v>
      </c>
      <c r="M12" s="2" t="s">
        <v>225</v>
      </c>
      <c r="N12" s="2" t="s">
        <v>206</v>
      </c>
      <c r="O12" s="2">
        <f>Summary!H22</f>
        <v>1.4623673600684959</v>
      </c>
      <c r="S12" s="403" t="s">
        <v>239</v>
      </c>
      <c r="T12" s="404"/>
      <c r="U12" s="404"/>
      <c r="V12" s="405"/>
      <c r="AB12"/>
    </row>
    <row r="13" spans="2:48" ht="14.55" customHeight="1" thickBot="1" x14ac:dyDescent="0.35">
      <c r="B13" s="406" t="s">
        <v>30</v>
      </c>
      <c r="C13" s="2" t="s">
        <v>60</v>
      </c>
      <c r="D13" s="2" t="s">
        <v>41</v>
      </c>
      <c r="E13" s="156">
        <v>0.1183</v>
      </c>
      <c r="F13" s="424">
        <v>0.59689999999999999</v>
      </c>
      <c r="G13" s="250">
        <f>Summary!G22</f>
        <v>0.5233054826633402</v>
      </c>
      <c r="H13" s="251">
        <f>X16</f>
        <v>2703.2277157553672</v>
      </c>
      <c r="L13" s="177">
        <f>E13-G13</f>
        <v>-0.40500548266334019</v>
      </c>
      <c r="M13" s="2" t="s">
        <v>218</v>
      </c>
      <c r="N13" s="2" t="s">
        <v>206</v>
      </c>
      <c r="O13" s="2">
        <f>Summary!H23</f>
        <v>1.7648313613277313</v>
      </c>
      <c r="Q13" s="192" t="s">
        <v>236</v>
      </c>
      <c r="R13" s="187" t="s">
        <v>234</v>
      </c>
      <c r="S13" s="201" t="s">
        <v>235</v>
      </c>
      <c r="T13" s="187" t="s">
        <v>237</v>
      </c>
      <c r="U13" s="187" t="s">
        <v>254</v>
      </c>
      <c r="V13" s="187"/>
      <c r="W13" s="188" t="s">
        <v>51</v>
      </c>
      <c r="X13" s="186" t="s">
        <v>238</v>
      </c>
      <c r="AB13"/>
    </row>
    <row r="14" spans="2:48" x14ac:dyDescent="0.3">
      <c r="B14" s="407"/>
      <c r="C14" s="2" t="s">
        <v>218</v>
      </c>
      <c r="D14" s="2" t="s">
        <v>41</v>
      </c>
      <c r="E14" s="156">
        <v>0.16689999999999999</v>
      </c>
      <c r="F14" s="425"/>
      <c r="G14" s="250">
        <f>Summary!G23</f>
        <v>0.12967349409582371</v>
      </c>
      <c r="H14" s="251">
        <f>X14</f>
        <v>-4385.7334026331255</v>
      </c>
      <c r="L14" s="177">
        <f t="shared" ref="L14:L16" si="2">E14-G14</f>
        <v>3.7226505904176282E-2</v>
      </c>
      <c r="M14" s="2" t="s">
        <v>194</v>
      </c>
      <c r="N14" s="2" t="s">
        <v>206</v>
      </c>
      <c r="O14" s="2">
        <f>Summary!H24</f>
        <v>1.9963440984074781</v>
      </c>
      <c r="Q14" s="193" t="s">
        <v>244</v>
      </c>
      <c r="R14" s="205">
        <v>0.16321652393386099</v>
      </c>
      <c r="S14" s="205">
        <f>Dashboard!AJ152</f>
        <v>0</v>
      </c>
      <c r="T14" s="210">
        <f>S14-R14</f>
        <v>-0.16321652393386099</v>
      </c>
      <c r="U14" s="99" t="s">
        <v>257</v>
      </c>
      <c r="V14" s="99"/>
      <c r="W14" s="244">
        <f>O13</f>
        <v>1.7648313613277313</v>
      </c>
      <c r="X14" s="217">
        <f>T14*(W22-W14)*O29*(W10/W6)</f>
        <v>-4385.7334026331255</v>
      </c>
      <c r="AB14"/>
      <c r="AV14" s="177"/>
    </row>
    <row r="15" spans="2:48" x14ac:dyDescent="0.3">
      <c r="B15" s="407"/>
      <c r="C15" s="2" t="s">
        <v>10</v>
      </c>
      <c r="D15" s="2" t="s">
        <v>41</v>
      </c>
      <c r="E15" s="156">
        <v>0.52270000000000005</v>
      </c>
      <c r="F15" s="179" t="s">
        <v>215</v>
      </c>
      <c r="G15" s="250">
        <f>Summary!G21</f>
        <v>0</v>
      </c>
      <c r="H15" s="251"/>
      <c r="K15">
        <f>(E15-G15)*(O10-O11)*O29*W10/W6</f>
        <v>1716.8357617629856</v>
      </c>
      <c r="L15" s="177">
        <f t="shared" si="2"/>
        <v>0.52270000000000005</v>
      </c>
      <c r="M15" s="2" t="s">
        <v>195</v>
      </c>
      <c r="N15" s="2" t="s">
        <v>206</v>
      </c>
      <c r="O15" s="2">
        <f>Summary!H25</f>
        <v>0</v>
      </c>
      <c r="Q15" s="194" t="s">
        <v>245</v>
      </c>
      <c r="R15" s="206">
        <v>3.6426866138758399E-3</v>
      </c>
      <c r="S15" s="208">
        <v>0</v>
      </c>
      <c r="T15" s="229">
        <f>S15-R15</f>
        <v>-3.6426866138758399E-3</v>
      </c>
      <c r="U15" s="26"/>
      <c r="V15" s="26"/>
      <c r="W15" s="245">
        <v>2.2553519455514262</v>
      </c>
      <c r="X15" s="218"/>
      <c r="AB15"/>
      <c r="AV15" s="177"/>
    </row>
    <row r="16" spans="2:48" ht="72" x14ac:dyDescent="0.3">
      <c r="B16" s="407"/>
      <c r="C16" s="2" t="s">
        <v>11</v>
      </c>
      <c r="D16" s="2" t="s">
        <v>41</v>
      </c>
      <c r="E16" s="171">
        <v>9.5100000000000004E-2</v>
      </c>
      <c r="F16" s="156">
        <v>0.28199999999999997</v>
      </c>
      <c r="G16" s="250">
        <f>Summary!G24</f>
        <v>0.31070367466573318</v>
      </c>
      <c r="H16" s="251">
        <f>X18</f>
        <v>-16858.194789360721</v>
      </c>
      <c r="L16" s="177">
        <f t="shared" si="2"/>
        <v>-0.21560367466573316</v>
      </c>
      <c r="M16" s="2" t="s">
        <v>226</v>
      </c>
      <c r="N16" s="2" t="s">
        <v>187</v>
      </c>
      <c r="O16" s="2">
        <f>Summary!H35</f>
        <v>757.29297552536798</v>
      </c>
      <c r="Q16" s="194" t="s">
        <v>246</v>
      </c>
      <c r="R16" s="206">
        <v>0.11832016077428099</v>
      </c>
      <c r="S16" s="206">
        <f>Dashboard!AJ153</f>
        <v>0</v>
      </c>
      <c r="T16" s="214">
        <f t="shared" ref="T16:T24" si="3">S16-R16</f>
        <v>-0.11832016077428099</v>
      </c>
      <c r="U16" s="215" t="s">
        <v>256</v>
      </c>
      <c r="V16" s="26"/>
      <c r="W16" s="245">
        <f>O12</f>
        <v>1.4623673600684959</v>
      </c>
      <c r="X16" s="218">
        <f>Z42</f>
        <v>2703.2277157553672</v>
      </c>
      <c r="AB16"/>
      <c r="AV16" s="177"/>
    </row>
    <row r="17" spans="2:28" x14ac:dyDescent="0.3">
      <c r="B17" s="407"/>
      <c r="C17" s="2" t="s">
        <v>23</v>
      </c>
      <c r="D17" s="2" t="s">
        <v>41</v>
      </c>
      <c r="E17" s="156">
        <v>3.32E-2</v>
      </c>
      <c r="F17" s="2"/>
      <c r="G17" s="226">
        <v>0</v>
      </c>
      <c r="H17" s="183"/>
      <c r="L17" s="177"/>
      <c r="M17" s="2" t="s">
        <v>196</v>
      </c>
      <c r="N17" s="2" t="s">
        <v>187</v>
      </c>
      <c r="O17" s="2">
        <f>Summary!H34</f>
        <v>200</v>
      </c>
      <c r="Q17" s="194" t="s">
        <v>247</v>
      </c>
      <c r="R17" s="206">
        <v>8.4114955048107693E-3</v>
      </c>
      <c r="S17" s="209">
        <v>0</v>
      </c>
      <c r="T17" s="230">
        <f t="shared" si="3"/>
        <v>-8.4114955048107693E-3</v>
      </c>
      <c r="U17" s="26"/>
      <c r="V17" s="26"/>
      <c r="W17" s="245">
        <v>1.503877782023378</v>
      </c>
      <c r="X17" s="218"/>
      <c r="AB17"/>
    </row>
    <row r="18" spans="2:28" ht="28.8" x14ac:dyDescent="0.3">
      <c r="B18" s="407"/>
      <c r="C18" s="2" t="s">
        <v>24</v>
      </c>
      <c r="D18" s="2" t="s">
        <v>41</v>
      </c>
      <c r="E18" s="156">
        <v>3.1199999999999999E-2</v>
      </c>
      <c r="F18" s="2"/>
      <c r="G18" s="226">
        <v>0</v>
      </c>
      <c r="H18" s="183"/>
      <c r="L18" s="177"/>
      <c r="M18" s="2" t="s">
        <v>242</v>
      </c>
      <c r="N18" s="2" t="s">
        <v>187</v>
      </c>
      <c r="O18" s="2">
        <f>Summary!H37</f>
        <v>463.72502263174914</v>
      </c>
      <c r="Q18" s="194" t="s">
        <v>248</v>
      </c>
      <c r="R18" s="206">
        <v>2.06331711270334E-2</v>
      </c>
      <c r="S18" s="206">
        <f>Dashboard!AJ155</f>
        <v>0</v>
      </c>
      <c r="T18" s="214">
        <f t="shared" si="3"/>
        <v>-2.06331711270334E-2</v>
      </c>
      <c r="U18" s="215" t="s">
        <v>258</v>
      </c>
      <c r="V18" s="26"/>
      <c r="W18" s="245">
        <v>2.04</v>
      </c>
      <c r="X18" s="218">
        <f>Z49</f>
        <v>-16858.194789360721</v>
      </c>
      <c r="Z18" s="177"/>
      <c r="AB18"/>
    </row>
    <row r="19" spans="2:28" ht="14.55" customHeight="1" thickBot="1" x14ac:dyDescent="0.35">
      <c r="B19" s="408"/>
      <c r="C19" s="2" t="s">
        <v>25</v>
      </c>
      <c r="D19" s="2" t="s">
        <v>41</v>
      </c>
      <c r="E19" s="2"/>
      <c r="F19" s="2"/>
      <c r="G19" s="226">
        <v>0</v>
      </c>
      <c r="H19" s="183"/>
      <c r="M19" s="2" t="s">
        <v>243</v>
      </c>
      <c r="N19" s="2" t="s">
        <v>187</v>
      </c>
      <c r="O19" s="2">
        <f>Summary!H36</f>
        <v>200</v>
      </c>
      <c r="Q19" s="194" t="s">
        <v>249</v>
      </c>
      <c r="R19" s="206">
        <v>2.27828789413447E-2</v>
      </c>
      <c r="S19" s="209">
        <v>0</v>
      </c>
      <c r="T19" s="230">
        <f t="shared" si="3"/>
        <v>-2.27828789413447E-2</v>
      </c>
      <c r="U19" s="26"/>
      <c r="V19" s="26"/>
      <c r="W19" s="245">
        <v>1.9316454337975097</v>
      </c>
      <c r="X19" s="218"/>
      <c r="Z19" s="177"/>
      <c r="AB19"/>
    </row>
    <row r="20" spans="2:28" ht="14.55" customHeight="1" x14ac:dyDescent="0.3">
      <c r="B20" s="406" t="s">
        <v>33</v>
      </c>
      <c r="C20" s="2" t="s">
        <v>15</v>
      </c>
      <c r="D20" s="2" t="s">
        <v>42</v>
      </c>
      <c r="E20" s="2"/>
      <c r="F20" s="2"/>
      <c r="G20" s="2"/>
      <c r="H20" s="183"/>
      <c r="M20" s="2" t="s">
        <v>197</v>
      </c>
      <c r="N20" s="2" t="s">
        <v>198</v>
      </c>
      <c r="O20" s="2">
        <f>Summary!H12</f>
        <v>1.127342856112574</v>
      </c>
      <c r="Q20" s="194" t="s">
        <v>250</v>
      </c>
      <c r="R20" s="206">
        <v>7.4450216330188002E-2</v>
      </c>
      <c r="S20" s="209">
        <v>0</v>
      </c>
      <c r="T20" s="230">
        <f t="shared" si="3"/>
        <v>-7.4450216330188002E-2</v>
      </c>
      <c r="U20" s="26"/>
      <c r="V20" s="26"/>
      <c r="W20" s="245">
        <v>2.5294483629478188</v>
      </c>
      <c r="X20" s="218"/>
      <c r="Z20" s="177"/>
      <c r="AB20"/>
    </row>
    <row r="21" spans="2:28" x14ac:dyDescent="0.3">
      <c r="B21" s="407"/>
      <c r="C21" s="225" t="s">
        <v>16</v>
      </c>
      <c r="D21" s="2" t="s">
        <v>41</v>
      </c>
      <c r="E21" s="156">
        <v>1.3299999999999999E-2</v>
      </c>
      <c r="F21" s="2">
        <v>103</v>
      </c>
      <c r="G21" s="253">
        <f>Summary!G31</f>
        <v>2.6337404218112898E-3</v>
      </c>
      <c r="H21" s="251"/>
      <c r="M21" s="2" t="s">
        <v>199</v>
      </c>
      <c r="N21" s="2" t="s">
        <v>207</v>
      </c>
      <c r="O21" s="2">
        <f>Summary!H9</f>
        <v>9.3856569075211986</v>
      </c>
      <c r="Q21" s="194" t="s">
        <v>251</v>
      </c>
      <c r="R21" s="206">
        <v>3.3225245103566198E-2</v>
      </c>
      <c r="S21" s="209">
        <v>0</v>
      </c>
      <c r="T21" s="230">
        <f t="shared" si="3"/>
        <v>-3.3225245103566198E-2</v>
      </c>
      <c r="U21" s="26"/>
      <c r="V21" s="26"/>
      <c r="W21" s="245">
        <v>2.7037032662981053</v>
      </c>
      <c r="X21" s="218"/>
      <c r="AB21"/>
    </row>
    <row r="22" spans="2:28" ht="15" thickBot="1" x14ac:dyDescent="0.35">
      <c r="B22" s="407"/>
      <c r="C22" s="225" t="s">
        <v>17</v>
      </c>
      <c r="D22" s="2" t="s">
        <v>41</v>
      </c>
      <c r="E22" s="156">
        <v>1.9300000000000001E-2</v>
      </c>
      <c r="F22" s="2">
        <v>456.2</v>
      </c>
      <c r="G22" s="253">
        <f>Summary!G30</f>
        <v>3.3536285278227322E-2</v>
      </c>
      <c r="H22" s="251">
        <f>X23</f>
        <v>83654.466177637951</v>
      </c>
      <c r="M22" s="2" t="s">
        <v>200</v>
      </c>
      <c r="N22" s="2" t="s">
        <v>207</v>
      </c>
      <c r="O22" s="2">
        <f>Summary!H10</f>
        <v>3.527925866922148</v>
      </c>
      <c r="Q22" s="194" t="s">
        <v>252</v>
      </c>
      <c r="R22" s="206">
        <v>0.52272016809527799</v>
      </c>
      <c r="S22" s="206">
        <f>Dashboard!AJ154</f>
        <v>0</v>
      </c>
      <c r="T22" s="230">
        <f t="shared" si="3"/>
        <v>-0.52272016809527799</v>
      </c>
      <c r="U22" s="213"/>
      <c r="V22" s="26"/>
      <c r="W22" s="245">
        <f>O11</f>
        <v>2.2177937329965753</v>
      </c>
      <c r="X22" s="218"/>
      <c r="Y22" s="119">
        <v>0.66549999999999998</v>
      </c>
      <c r="AB22"/>
    </row>
    <row r="23" spans="2:28" ht="28.8" x14ac:dyDescent="0.3">
      <c r="B23" s="421" t="s">
        <v>34</v>
      </c>
      <c r="C23" s="2" t="s">
        <v>19</v>
      </c>
      <c r="D23" s="2" t="s">
        <v>43</v>
      </c>
      <c r="E23" s="183">
        <v>726.36</v>
      </c>
      <c r="F23" s="160">
        <v>720</v>
      </c>
      <c r="G23" s="252">
        <f>Summary!D27</f>
        <v>725.00252865981031</v>
      </c>
      <c r="H23" s="251">
        <f>(E23-G23)*O23*(W8/$W$6)</f>
        <v>81.419735857506609</v>
      </c>
      <c r="M23" s="2" t="s">
        <v>201</v>
      </c>
      <c r="N23" s="2" t="s">
        <v>206</v>
      </c>
      <c r="O23" s="2">
        <f>Summary!D26</f>
        <v>1.5727457911855423</v>
      </c>
      <c r="Q23" s="194" t="s">
        <v>17</v>
      </c>
      <c r="R23" s="206">
        <v>1.9325019417479199E-2</v>
      </c>
      <c r="S23" s="206">
        <f>Dashboard!AJ157</f>
        <v>0</v>
      </c>
      <c r="T23" s="214">
        <f t="shared" si="3"/>
        <v>-1.9325019417479199E-2</v>
      </c>
      <c r="U23" s="215" t="s">
        <v>259</v>
      </c>
      <c r="V23" s="26"/>
      <c r="W23" s="245">
        <f>O25</f>
        <v>0.81180402076009184</v>
      </c>
      <c r="X23" s="218">
        <f>V49</f>
        <v>83654.466177637951</v>
      </c>
      <c r="AB23"/>
    </row>
    <row r="24" spans="2:28" ht="14.55" customHeight="1" thickBot="1" x14ac:dyDescent="0.35">
      <c r="B24" s="422"/>
      <c r="C24" s="2" t="s">
        <v>20</v>
      </c>
      <c r="D24" s="2" t="s">
        <v>43</v>
      </c>
      <c r="E24" s="183">
        <v>727.59</v>
      </c>
      <c r="F24" s="160">
        <v>737</v>
      </c>
      <c r="G24" s="252">
        <f>Summary!E27</f>
        <v>734.43686000795162</v>
      </c>
      <c r="H24" s="251">
        <f>(E24-G24)*O24*(W9/$W$6)</f>
        <v>-486.18229832650786</v>
      </c>
      <c r="M24" s="2" t="s">
        <v>202</v>
      </c>
      <c r="N24" s="2" t="s">
        <v>206</v>
      </c>
      <c r="O24" s="2">
        <f>Summary!E26</f>
        <v>1.6459189511654133</v>
      </c>
      <c r="Q24" s="195" t="s">
        <v>253</v>
      </c>
      <c r="R24" s="207">
        <v>1.3272434158282101E-2</v>
      </c>
      <c r="S24" s="207">
        <f>Dashboard!AJ156</f>
        <v>0</v>
      </c>
      <c r="T24" s="231">
        <f t="shared" si="3"/>
        <v>-1.3272434158282101E-2</v>
      </c>
      <c r="U24" s="199"/>
      <c r="V24" s="199"/>
      <c r="W24" s="246">
        <f>O26</f>
        <v>0.01</v>
      </c>
      <c r="X24" s="167"/>
      <c r="AB24"/>
    </row>
    <row r="25" spans="2:28" ht="15" thickBot="1" x14ac:dyDescent="0.35">
      <c r="B25" s="422"/>
      <c r="C25" s="2" t="s">
        <v>18</v>
      </c>
      <c r="D25" s="2" t="s">
        <v>43</v>
      </c>
      <c r="E25" s="159">
        <v>22.483841904539105</v>
      </c>
      <c r="F25" s="159">
        <v>24.8</v>
      </c>
      <c r="G25" s="159">
        <v>25.13</v>
      </c>
      <c r="H25" s="251">
        <f>(G25-E25)*(O21-O20)*(W10/W6)</f>
        <v>1776.160288067894</v>
      </c>
      <c r="K25" s="182"/>
      <c r="L25" s="182"/>
      <c r="M25" s="2" t="s">
        <v>17</v>
      </c>
      <c r="N25" s="2" t="s">
        <v>206</v>
      </c>
      <c r="O25" s="2">
        <f>Summary!H30</f>
        <v>0.81180402076009184</v>
      </c>
      <c r="W25" s="220" t="s">
        <v>230</v>
      </c>
      <c r="X25" s="212">
        <f>SUM(X14:X24)</f>
        <v>65113.765701399476</v>
      </c>
    </row>
    <row r="26" spans="2:28" ht="15" thickBot="1" x14ac:dyDescent="0.35">
      <c r="B26" s="422"/>
      <c r="C26" s="2" t="s">
        <v>21</v>
      </c>
      <c r="D26" s="2" t="s">
        <v>44</v>
      </c>
      <c r="E26" s="159">
        <v>71.069999999999993</v>
      </c>
      <c r="F26" s="172">
        <v>70.8</v>
      </c>
      <c r="G26" s="159">
        <f>Summary!D28</f>
        <v>63.77</v>
      </c>
      <c r="H26" s="251">
        <f>(E26-G26)*O30*(W4/W6)</f>
        <v>43.361729823955002</v>
      </c>
      <c r="M26" s="2" t="s">
        <v>16</v>
      </c>
      <c r="N26" s="2" t="s">
        <v>206</v>
      </c>
      <c r="O26" s="185">
        <f>Summary!H31</f>
        <v>0.01</v>
      </c>
    </row>
    <row r="27" spans="2:28" ht="15" thickBot="1" x14ac:dyDescent="0.35">
      <c r="B27" s="423"/>
      <c r="C27" s="2" t="s">
        <v>22</v>
      </c>
      <c r="D27" s="2" t="s">
        <v>44</v>
      </c>
      <c r="E27" s="159">
        <v>76.02</v>
      </c>
      <c r="F27" s="159">
        <v>76.8</v>
      </c>
      <c r="G27" s="159">
        <f>Summary!E28</f>
        <v>71.84</v>
      </c>
      <c r="H27" s="251">
        <f>(E27-G27)*O31*(W5/W6)</f>
        <v>5.2955180632305838</v>
      </c>
      <c r="M27" s="2" t="s">
        <v>12</v>
      </c>
      <c r="N27" s="2" t="s">
        <v>187</v>
      </c>
      <c r="O27" s="2"/>
      <c r="Q27" s="192" t="s">
        <v>236</v>
      </c>
      <c r="R27" s="187" t="s">
        <v>234</v>
      </c>
      <c r="S27" s="187" t="s">
        <v>255</v>
      </c>
      <c r="T27" s="188" t="s">
        <v>235</v>
      </c>
      <c r="U27" s="186" t="s">
        <v>255</v>
      </c>
    </row>
    <row r="28" spans="2:28" x14ac:dyDescent="0.3">
      <c r="B28" s="406" t="s">
        <v>35</v>
      </c>
      <c r="C28" s="2" t="s">
        <v>27</v>
      </c>
      <c r="D28" s="2" t="s">
        <v>45</v>
      </c>
      <c r="E28" s="156">
        <v>4.6150737714715423E-2</v>
      </c>
      <c r="F28" s="171">
        <v>0.13900000000000001</v>
      </c>
      <c r="G28" s="156">
        <f>Summary!G35</f>
        <v>6.7023372564274972E-2</v>
      </c>
      <c r="H28" s="251">
        <f>(E28-G28)*(O16-O17)*(W10/W6)</f>
        <v>-945.44401760706387</v>
      </c>
      <c r="M28" s="2" t="s">
        <v>13</v>
      </c>
      <c r="N28" s="2" t="s">
        <v>187</v>
      </c>
      <c r="O28" s="2">
        <f>Summary!H15</f>
        <v>0</v>
      </c>
      <c r="Q28" s="193" t="s">
        <v>244</v>
      </c>
      <c r="R28" s="210">
        <f>R14</f>
        <v>0.16321652393386099</v>
      </c>
      <c r="S28" s="196">
        <v>1.6253280782358464</v>
      </c>
      <c r="T28" s="181">
        <f>S14</f>
        <v>0</v>
      </c>
      <c r="U28" s="143">
        <f>O13</f>
        <v>1.7648313613277313</v>
      </c>
    </row>
    <row r="29" spans="2:28" x14ac:dyDescent="0.3">
      <c r="B29" s="407"/>
      <c r="C29" s="2" t="s">
        <v>242</v>
      </c>
      <c r="D29" s="2"/>
      <c r="E29" s="156">
        <v>5.0099999999999999E-2</v>
      </c>
      <c r="F29" s="171">
        <v>0</v>
      </c>
      <c r="G29" s="156">
        <f>Summary!G37</f>
        <v>2.4542232089110522E-2</v>
      </c>
      <c r="H29" s="251">
        <f>(E29-G29)*(O18-O19)*(W10/W6)</f>
        <v>547.83431753954176</v>
      </c>
      <c r="K29" t="s">
        <v>276</v>
      </c>
      <c r="M29" s="2" t="s">
        <v>203</v>
      </c>
      <c r="N29" s="2" t="s">
        <v>208</v>
      </c>
      <c r="O29" s="2">
        <f>Summary!F27</f>
        <v>729.86242303654967</v>
      </c>
      <c r="Q29" s="194" t="s">
        <v>245</v>
      </c>
      <c r="R29" s="210">
        <f t="shared" ref="R29:R38" si="4">R15</f>
        <v>3.6426866138758399E-3</v>
      </c>
      <c r="S29" s="103">
        <v>2.2553519455514262</v>
      </c>
      <c r="T29" s="209">
        <v>0</v>
      </c>
      <c r="U29" s="123"/>
    </row>
    <row r="30" spans="2:28" ht="15" thickBot="1" x14ac:dyDescent="0.35">
      <c r="B30" s="408"/>
      <c r="C30" s="2" t="s">
        <v>29</v>
      </c>
      <c r="D30" s="2" t="s">
        <v>46</v>
      </c>
      <c r="E30" s="2"/>
      <c r="F30" s="2"/>
      <c r="G30" s="2"/>
      <c r="H30" s="183"/>
      <c r="M30" s="2" t="s">
        <v>240</v>
      </c>
      <c r="N30" s="2" t="s">
        <v>207</v>
      </c>
      <c r="O30" s="2">
        <f>Summary!D11</f>
        <v>7.6</v>
      </c>
      <c r="Q30" s="194" t="s">
        <v>246</v>
      </c>
      <c r="R30" s="210">
        <f t="shared" si="4"/>
        <v>0.11832016077428099</v>
      </c>
      <c r="S30" s="103">
        <v>1.6065492638117782</v>
      </c>
      <c r="T30" s="180">
        <f t="shared" ref="T30:T38" si="5">S16</f>
        <v>0</v>
      </c>
      <c r="U30" s="123">
        <f>O12</f>
        <v>1.4623673600684959</v>
      </c>
    </row>
    <row r="31" spans="2:28" x14ac:dyDescent="0.3">
      <c r="B31" s="406" t="s">
        <v>219</v>
      </c>
      <c r="C31" s="2" t="s">
        <v>28</v>
      </c>
      <c r="D31" s="2"/>
      <c r="E31" s="171">
        <v>0.124</v>
      </c>
      <c r="F31" s="174">
        <v>0.19</v>
      </c>
      <c r="G31" s="156">
        <f>Summary!G33</f>
        <v>3.747118881658263E-2</v>
      </c>
      <c r="H31" s="232">
        <f>(E31-G31)*O33/W6</f>
        <v>5.2770485859634229E-4</v>
      </c>
      <c r="M31" s="2" t="s">
        <v>241</v>
      </c>
      <c r="N31" s="2" t="s">
        <v>207</v>
      </c>
      <c r="O31" s="2">
        <f>Summary!E11</f>
        <v>5.8</v>
      </c>
      <c r="Q31" s="194" t="s">
        <v>247</v>
      </c>
      <c r="R31" s="210">
        <f t="shared" si="4"/>
        <v>8.4114955048107693E-3</v>
      </c>
      <c r="S31" s="103">
        <v>1.503877782023378</v>
      </c>
      <c r="T31" s="209">
        <v>0</v>
      </c>
      <c r="U31" s="123"/>
      <c r="Y31" s="177"/>
      <c r="Z31" s="177"/>
      <c r="AA31" s="177"/>
    </row>
    <row r="32" spans="2:28" x14ac:dyDescent="0.3">
      <c r="B32" s="407"/>
      <c r="C32" s="2" t="s">
        <v>31</v>
      </c>
      <c r="D32" s="2" t="s">
        <v>47</v>
      </c>
      <c r="E32" s="2"/>
      <c r="F32" s="2"/>
      <c r="G32" s="2"/>
      <c r="H32" s="183">
        <v>2.2991459114746862</v>
      </c>
      <c r="M32" s="2" t="s">
        <v>204</v>
      </c>
      <c r="N32" s="2" t="s">
        <v>207</v>
      </c>
      <c r="O32" s="2">
        <f>Summary!H11</f>
        <v>6.5660875503360279</v>
      </c>
      <c r="Q32" s="194" t="s">
        <v>248</v>
      </c>
      <c r="R32" s="210">
        <f t="shared" si="4"/>
        <v>2.06331711270334E-2</v>
      </c>
      <c r="S32" s="103">
        <v>2.5294483629478188</v>
      </c>
      <c r="T32" s="180">
        <f t="shared" si="5"/>
        <v>0</v>
      </c>
      <c r="U32" s="123">
        <f>O14</f>
        <v>1.9963440984074781</v>
      </c>
      <c r="Y32" s="177"/>
      <c r="Z32" s="177"/>
      <c r="AA32" s="177"/>
    </row>
    <row r="33" spans="2:27" ht="15" thickBot="1" x14ac:dyDescent="0.35">
      <c r="B33" s="408"/>
      <c r="C33" s="2" t="s">
        <v>32</v>
      </c>
      <c r="D33" s="2" t="s">
        <v>48</v>
      </c>
      <c r="E33" s="2"/>
      <c r="F33" s="2"/>
      <c r="G33" s="2"/>
      <c r="H33" s="225">
        <v>0</v>
      </c>
      <c r="M33" s="3" t="s">
        <v>205</v>
      </c>
      <c r="N33" s="3" t="s">
        <v>187</v>
      </c>
      <c r="O33" s="3">
        <v>32</v>
      </c>
      <c r="Q33" s="194" t="s">
        <v>249</v>
      </c>
      <c r="R33" s="210">
        <f t="shared" si="4"/>
        <v>2.27828789413447E-2</v>
      </c>
      <c r="S33" s="103">
        <v>1.9316454337975097</v>
      </c>
      <c r="T33" s="209">
        <v>0</v>
      </c>
      <c r="U33" s="123"/>
    </row>
    <row r="34" spans="2:27" ht="15" thickBot="1" x14ac:dyDescent="0.35">
      <c r="C34" s="3" t="s">
        <v>26</v>
      </c>
      <c r="D34" s="3"/>
      <c r="E34" s="3"/>
      <c r="F34" s="3"/>
      <c r="G34" s="3"/>
      <c r="H34" s="228">
        <v>0</v>
      </c>
      <c r="Q34" s="194" t="s">
        <v>250</v>
      </c>
      <c r="R34" s="210">
        <f t="shared" si="4"/>
        <v>7.4450216330188002E-2</v>
      </c>
      <c r="S34" s="103">
        <f>S32</f>
        <v>2.5294483629478188</v>
      </c>
      <c r="T34" s="209">
        <v>0</v>
      </c>
      <c r="U34" s="123"/>
      <c r="Y34" s="177"/>
      <c r="Z34" s="177"/>
      <c r="AA34" s="177"/>
    </row>
    <row r="35" spans="2:27" ht="15" thickBot="1" x14ac:dyDescent="0.35">
      <c r="Q35" s="194" t="s">
        <v>251</v>
      </c>
      <c r="R35" s="210">
        <f t="shared" si="4"/>
        <v>3.3225245103566198E-2</v>
      </c>
      <c r="S35" s="103">
        <v>2.7037032662981053</v>
      </c>
      <c r="T35" s="209">
        <v>0</v>
      </c>
      <c r="U35" s="123"/>
      <c r="X35" s="397" t="s">
        <v>260</v>
      </c>
      <c r="Y35" s="398"/>
      <c r="Z35" s="399"/>
    </row>
    <row r="36" spans="2:27" ht="21.6" thickBot="1" x14ac:dyDescent="0.45">
      <c r="G36" s="175" t="s">
        <v>230</v>
      </c>
      <c r="H36" s="176">
        <f>SUM(H4:H34)</f>
        <v>66137.506778917275</v>
      </c>
      <c r="K36" s="182">
        <f>H36-H32</f>
        <v>66135.207633005804</v>
      </c>
      <c r="Q36" s="194" t="s">
        <v>252</v>
      </c>
      <c r="R36" s="210">
        <f t="shared" si="4"/>
        <v>0.52272016809527799</v>
      </c>
      <c r="S36" s="211">
        <v>2.2679095541344996</v>
      </c>
      <c r="T36" s="180">
        <f t="shared" si="5"/>
        <v>0</v>
      </c>
      <c r="U36" s="123">
        <f>O11</f>
        <v>2.2177937329965753</v>
      </c>
      <c r="X36" s="142" t="s">
        <v>261</v>
      </c>
      <c r="Y36" s="99" t="s">
        <v>263</v>
      </c>
      <c r="Z36" s="143" t="s">
        <v>262</v>
      </c>
    </row>
    <row r="37" spans="2:27" x14ac:dyDescent="0.3">
      <c r="Q37" s="194" t="s">
        <v>17</v>
      </c>
      <c r="R37" s="210">
        <f t="shared" si="4"/>
        <v>1.9325019417479199E-2</v>
      </c>
      <c r="S37" s="103">
        <v>0.97724206818086168</v>
      </c>
      <c r="T37" s="180">
        <f t="shared" si="5"/>
        <v>0</v>
      </c>
      <c r="U37" s="123">
        <f>O25</f>
        <v>0.81180402076009184</v>
      </c>
      <c r="X37" s="122" t="str">
        <f>Q22</f>
        <v>Imported Pet Coke (saudi)</v>
      </c>
      <c r="Y37" s="180">
        <v>0.27210000000000001</v>
      </c>
      <c r="Z37" s="123">
        <f>Y37*(W22-$W$16)*$O$29*($W$10/$W$6)</f>
        <v>12193.732474594106</v>
      </c>
    </row>
    <row r="38" spans="2:27" ht="15" thickBot="1" x14ac:dyDescent="0.35">
      <c r="H38" s="182">
        <f>H36-H32</f>
        <v>66135.207633005804</v>
      </c>
      <c r="Q38" s="195" t="s">
        <v>253</v>
      </c>
      <c r="R38" s="222">
        <f t="shared" si="4"/>
        <v>1.3272434158282101E-2</v>
      </c>
      <c r="S38" s="197">
        <v>-0.19107984391921232</v>
      </c>
      <c r="T38" s="216">
        <f t="shared" si="5"/>
        <v>0</v>
      </c>
      <c r="U38" s="123">
        <f>O26</f>
        <v>0.01</v>
      </c>
      <c r="X38" s="122" t="str">
        <f>Q15</f>
        <v>E-Auction Coal</v>
      </c>
      <c r="Y38" s="206">
        <f>-T15</f>
        <v>3.6426866138758399E-3</v>
      </c>
      <c r="Z38" s="123">
        <f>Y38*(W15-$W$16)*$O$29*($W$10/$W$6)</f>
        <v>171.35726953470379</v>
      </c>
    </row>
    <row r="39" spans="2:27" ht="15" thickBot="1" x14ac:dyDescent="0.35">
      <c r="G39">
        <v>405.17</v>
      </c>
      <c r="H39">
        <v>374.83</v>
      </c>
      <c r="S39" s="221">
        <f>((R28*S28)+(R29*S29)+(R30*S30)+(R31*S31)+(R32*S32)+(R33*S33)+(R34*S34)+(R35*S35)+(R36*S36)+(R37*S37)+(R38*S38))</f>
        <v>2.0524123251036146</v>
      </c>
      <c r="U39" s="223">
        <f>((T28*U28)+(T30*U30)+(T32*U32)+(T36*U36)+(T37*U37)+(T38*U38))</f>
        <v>0</v>
      </c>
      <c r="X39" s="122" t="str">
        <f>Q17</f>
        <v xml:space="preserve">Indian Pet coke </v>
      </c>
      <c r="Y39" s="206">
        <f>-T17</f>
        <v>8.4114955048107693E-3</v>
      </c>
      <c r="Z39" s="123">
        <f>Y39*(W17-$W$16)*$O$29*($W$10/$W$6)</f>
        <v>20.713159212710362</v>
      </c>
    </row>
    <row r="40" spans="2:27" x14ac:dyDescent="0.3">
      <c r="X40" s="122" t="str">
        <f>Q21</f>
        <v>Fluid Pet Coke</v>
      </c>
      <c r="Y40" s="206">
        <f>-T21</f>
        <v>3.3225245103566198E-2</v>
      </c>
      <c r="Z40" s="123">
        <f>Y40*(W21-$W$16)*$O$29*($W$10/$W$6)</f>
        <v>2446.6592539187523</v>
      </c>
    </row>
    <row r="41" spans="2:27" ht="15" thickBot="1" x14ac:dyDescent="0.35">
      <c r="X41" s="140" t="str">
        <f>Q19</f>
        <v>Indian Petcoke Hi-Sulphur</v>
      </c>
      <c r="Y41" s="207">
        <f>-SUM(Y37:Y40)+T16</f>
        <v>-0.43569958799653385</v>
      </c>
      <c r="Z41" s="124">
        <f>Y41*(W19-$W$16)*$O$29*($W$10/$W$6)</f>
        <v>-12129.234441504903</v>
      </c>
    </row>
    <row r="42" spans="2:27" ht="15" thickBot="1" x14ac:dyDescent="0.35">
      <c r="Z42" s="233">
        <f>SUM(Z37:Z41)</f>
        <v>2703.2277157553672</v>
      </c>
    </row>
    <row r="43" spans="2:27" x14ac:dyDescent="0.3">
      <c r="H43" s="182">
        <v>361.52587776492976</v>
      </c>
    </row>
    <row r="44" spans="2:27" ht="15" thickBot="1" x14ac:dyDescent="0.35"/>
    <row r="45" spans="2:27" ht="15" thickBot="1" x14ac:dyDescent="0.35">
      <c r="T45" s="397" t="s">
        <v>17</v>
      </c>
      <c r="U45" s="398"/>
      <c r="V45" s="399"/>
      <c r="X45" s="400" t="s">
        <v>264</v>
      </c>
      <c r="Y45" s="401"/>
      <c r="Z45" s="402"/>
    </row>
    <row r="46" spans="2:27" x14ac:dyDescent="0.3">
      <c r="T46" s="142" t="s">
        <v>261</v>
      </c>
      <c r="U46" s="99" t="s">
        <v>263</v>
      </c>
      <c r="V46" s="143" t="s">
        <v>262</v>
      </c>
      <c r="X46" s="142" t="s">
        <v>261</v>
      </c>
      <c r="Y46" s="99" t="s">
        <v>263</v>
      </c>
      <c r="Z46" s="143" t="s">
        <v>262</v>
      </c>
    </row>
    <row r="47" spans="2:27" x14ac:dyDescent="0.3">
      <c r="T47" s="122" t="str">
        <f>Q20</f>
        <v>Imp. Pet Coke (Low Sulphur)</v>
      </c>
      <c r="U47" s="180">
        <f>-T20-Y48</f>
        <v>0.55356585439509987</v>
      </c>
      <c r="V47" s="243">
        <f>U47*(W20-W23)*O29*(W10/W6)</f>
        <v>56405.118388121358</v>
      </c>
      <c r="X47" s="122" t="str">
        <f>Q19</f>
        <v>Indian Petcoke Hi-Sulphur</v>
      </c>
      <c r="Y47" s="180">
        <f>-T19-Y41</f>
        <v>0.45848246693787853</v>
      </c>
      <c r="Z47" s="123">
        <f>Y47*(W19-$W$18)*$O$29*($W$10/$W$6)</f>
        <v>-2947.0393058307218</v>
      </c>
    </row>
    <row r="48" spans="2:27" ht="15" thickBot="1" x14ac:dyDescent="0.35">
      <c r="T48" s="140" t="str">
        <f>Q24</f>
        <v>AFR (LIQUID) - HCV</v>
      </c>
      <c r="U48" s="216">
        <f>T23-U47</f>
        <v>-0.57289087381257908</v>
      </c>
      <c r="V48" s="124">
        <f>U48*(W24-W23)*O29*(W10/W6)</f>
        <v>27249.3477895166</v>
      </c>
      <c r="X48" s="140" t="str">
        <f>Q20</f>
        <v>Imp. Pet Coke (Low Sulphur)</v>
      </c>
      <c r="Y48" s="216">
        <f>T18-Y47</f>
        <v>-0.47911563806491192</v>
      </c>
      <c r="Z48" s="124">
        <f>Y48*(W20-$W$18)*$O$29*($W$10/$W$6)</f>
        <v>-13911.155483529998</v>
      </c>
    </row>
    <row r="49" spans="22:26" ht="15" thickBot="1" x14ac:dyDescent="0.35">
      <c r="V49" s="234">
        <f>SUM(V47:V48)</f>
        <v>83654.466177637951</v>
      </c>
      <c r="Z49" s="234">
        <f>SUM(Z47:Z48)</f>
        <v>-16858.194789360721</v>
      </c>
    </row>
    <row r="51" spans="22:26" x14ac:dyDescent="0.3">
      <c r="V51" s="182"/>
    </row>
  </sheetData>
  <mergeCells count="14">
    <mergeCell ref="T45:V45"/>
    <mergeCell ref="X45:Z45"/>
    <mergeCell ref="B4:B12"/>
    <mergeCell ref="S8:V8"/>
    <mergeCell ref="S9:V9"/>
    <mergeCell ref="S10:V10"/>
    <mergeCell ref="S12:V12"/>
    <mergeCell ref="B13:B19"/>
    <mergeCell ref="F13:F14"/>
    <mergeCell ref="B20:B22"/>
    <mergeCell ref="B23:B27"/>
    <mergeCell ref="B28:B30"/>
    <mergeCell ref="B31:B33"/>
    <mergeCell ref="X35:Z3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AW55"/>
  <sheetViews>
    <sheetView tabSelected="1" topLeftCell="C1" zoomScale="81" zoomScaleNormal="70" workbookViewId="0">
      <pane xSplit="1" topLeftCell="H1" activePane="topRight" state="frozen"/>
      <selection activeCell="C1" sqref="C1"/>
      <selection pane="topRight" activeCell="Y17" sqref="Y17"/>
    </sheetView>
  </sheetViews>
  <sheetFormatPr defaultRowHeight="14.4" x14ac:dyDescent="0.3"/>
  <cols>
    <col min="2" max="2" width="12.21875" customWidth="1"/>
    <col min="3" max="3" width="32.21875" bestFit="1" customWidth="1"/>
    <col min="4" max="4" width="20.109375" bestFit="1" customWidth="1"/>
    <col min="5" max="5" width="11" customWidth="1"/>
    <col min="6" max="6" width="18.77734375" customWidth="1"/>
    <col min="7" max="7" width="13.44140625" bestFit="1" customWidth="1"/>
    <col min="8" max="8" width="17.77734375" bestFit="1" customWidth="1"/>
    <col min="9" max="10" width="17.77734375" hidden="1" customWidth="1"/>
    <col min="11" max="11" width="17.77734375" customWidth="1"/>
    <col min="13" max="13" width="9.21875" customWidth="1"/>
    <col min="14" max="14" width="17.5546875" bestFit="1" customWidth="1"/>
    <col min="18" max="18" width="25.77734375" bestFit="1" customWidth="1"/>
    <col min="19" max="19" width="16.21875" bestFit="1" customWidth="1"/>
    <col min="21" max="21" width="24.5546875" bestFit="1" customWidth="1"/>
    <col min="22" max="22" width="17.77734375" bestFit="1" customWidth="1"/>
    <col min="24" max="24" width="9.88671875" bestFit="1" customWidth="1"/>
    <col min="25" max="25" width="13.77734375" bestFit="1" customWidth="1"/>
    <col min="26" max="27" width="11.33203125" customWidth="1"/>
    <col min="28" max="28" width="25.77734375" bestFit="1" customWidth="1"/>
    <col min="29" max="29" width="12.109375" style="6" customWidth="1"/>
    <col min="30" max="30" width="13.44140625" customWidth="1"/>
    <col min="32" max="32" width="11.5546875" bestFit="1" customWidth="1"/>
    <col min="33" max="33" width="8.44140625" customWidth="1"/>
    <col min="34" max="34" width="10" customWidth="1"/>
    <col min="35" max="35" width="10.77734375" customWidth="1"/>
  </cols>
  <sheetData>
    <row r="1" spans="2:49" ht="15" thickBot="1" x14ac:dyDescent="0.35"/>
    <row r="2" spans="2:49" ht="15" thickBot="1" x14ac:dyDescent="0.35">
      <c r="C2" s="4" t="s">
        <v>3</v>
      </c>
      <c r="D2" s="4" t="s">
        <v>4</v>
      </c>
      <c r="E2" s="4" t="s">
        <v>0</v>
      </c>
      <c r="F2" s="4" t="s">
        <v>285</v>
      </c>
      <c r="G2" s="4" t="s">
        <v>2</v>
      </c>
      <c r="H2" s="178" t="s">
        <v>5</v>
      </c>
      <c r="I2" s="161" t="s">
        <v>220</v>
      </c>
      <c r="J2" s="161" t="s">
        <v>221</v>
      </c>
      <c r="K2" s="259"/>
    </row>
    <row r="3" spans="2:49" ht="15" thickBot="1" x14ac:dyDescent="0.35">
      <c r="C3" s="1"/>
      <c r="D3" s="1"/>
      <c r="E3" s="1"/>
      <c r="F3" s="1"/>
      <c r="G3" s="1"/>
      <c r="H3" s="1"/>
      <c r="N3" s="4" t="s">
        <v>3</v>
      </c>
      <c r="O3" s="4" t="s">
        <v>4</v>
      </c>
      <c r="P3" s="4" t="s">
        <v>51</v>
      </c>
      <c r="R3" s="162"/>
      <c r="S3" s="162"/>
      <c r="T3" s="163" t="s">
        <v>209</v>
      </c>
      <c r="U3" s="164" t="s">
        <v>210</v>
      </c>
      <c r="V3" s="164" t="s">
        <v>211</v>
      </c>
      <c r="W3" s="165" t="s">
        <v>212</v>
      </c>
      <c r="X3" s="4" t="s">
        <v>213</v>
      </c>
    </row>
    <row r="4" spans="2:49" ht="15" thickBot="1" x14ac:dyDescent="0.35">
      <c r="B4" s="409" t="s">
        <v>37</v>
      </c>
      <c r="C4" s="2" t="s">
        <v>6</v>
      </c>
      <c r="D4" s="2" t="s">
        <v>38</v>
      </c>
      <c r="E4" s="171">
        <v>0.3262123377437619</v>
      </c>
      <c r="F4" s="298">
        <v>0.34100000000000003</v>
      </c>
      <c r="G4" s="156">
        <f>Summary!G6</f>
        <v>0.33176197013987752</v>
      </c>
      <c r="H4" s="183">
        <f>(G4-E4)*($P$4-P5)*U7</f>
        <v>4.7452783158134375</v>
      </c>
      <c r="N4" s="1" t="s">
        <v>186</v>
      </c>
      <c r="O4" s="1" t="s">
        <v>188</v>
      </c>
      <c r="P4" s="361">
        <f>Summary!H29</f>
        <v>1998.8263152724808</v>
      </c>
      <c r="R4" s="4" t="s">
        <v>63</v>
      </c>
      <c r="S4" s="308" t="s">
        <v>58</v>
      </c>
      <c r="T4" s="309">
        <f>+Dashboard!AJ83</f>
        <v>28303</v>
      </c>
      <c r="U4" s="310">
        <f>+Dashboard!AJ79+Dashboard!AJ80</f>
        <v>102350</v>
      </c>
      <c r="V4" s="310">
        <f>+Dashboard!AJ81</f>
        <v>16809</v>
      </c>
      <c r="W4" s="311">
        <f>+Dashboard!AJ82</f>
        <v>28886</v>
      </c>
      <c r="X4" s="312">
        <f>SUM(T4:W4)</f>
        <v>176348</v>
      </c>
      <c r="Z4">
        <f>SUM(U6:W6)</f>
        <v>440469</v>
      </c>
    </row>
    <row r="5" spans="2:49" ht="15" thickBot="1" x14ac:dyDescent="0.35">
      <c r="B5" s="410"/>
      <c r="C5" s="2" t="s">
        <v>7</v>
      </c>
      <c r="D5" s="2" t="s">
        <v>38</v>
      </c>
      <c r="E5" s="171">
        <v>0.27162679257965888</v>
      </c>
      <c r="F5" s="298">
        <v>0.28999999999999998</v>
      </c>
      <c r="G5" s="156">
        <f>Summary!G7</f>
        <v>0.27871973347611401</v>
      </c>
      <c r="H5" s="183">
        <f>(G5-E5)*($P$4-P5)*V7</f>
        <v>0.25823621569443278</v>
      </c>
      <c r="N5" s="2" t="s">
        <v>189</v>
      </c>
      <c r="O5" s="2" t="s">
        <v>188</v>
      </c>
      <c r="P5" s="159">
        <f>Summary!H6</f>
        <v>863.46</v>
      </c>
      <c r="R5" s="133"/>
      <c r="S5" s="313" t="s">
        <v>59</v>
      </c>
      <c r="T5" s="314">
        <f>Dashboard!AJ86</f>
        <v>55416</v>
      </c>
      <c r="U5" s="315">
        <f>+Dashboard!AJ84+Dashboard!AJ85</f>
        <v>292424</v>
      </c>
      <c r="V5" s="315"/>
      <c r="W5" s="316"/>
      <c r="X5" s="312">
        <f>SUM(T5:W5)</f>
        <v>347840</v>
      </c>
      <c r="Z5" s="111">
        <f>U6/Z4</f>
        <v>0.89625830648694915</v>
      </c>
      <c r="AA5" s="111"/>
      <c r="AB5" s="111"/>
    </row>
    <row r="6" spans="2:49" ht="15" thickBot="1" x14ac:dyDescent="0.35">
      <c r="B6" s="410"/>
      <c r="C6" s="2" t="s">
        <v>8</v>
      </c>
      <c r="D6" s="2" t="s">
        <v>38</v>
      </c>
      <c r="E6" s="156">
        <v>0.29799999999999999</v>
      </c>
      <c r="F6" s="298">
        <v>0.315</v>
      </c>
      <c r="G6" s="156">
        <f>Summary!G8</f>
        <v>0.30184172263380182</v>
      </c>
      <c r="H6" s="183">
        <f>(G6-E6)*($P$4-P5)*W7</f>
        <v>0.24036008214308141</v>
      </c>
      <c r="N6" s="2" t="s">
        <v>190</v>
      </c>
      <c r="O6" s="2" t="s">
        <v>188</v>
      </c>
      <c r="P6" s="159">
        <f>Summary!H19</f>
        <v>447.88351524652012</v>
      </c>
      <c r="R6" s="133"/>
      <c r="S6" s="317" t="s">
        <v>213</v>
      </c>
      <c r="T6" s="318">
        <f>SUM(T4:T5)</f>
        <v>83719</v>
      </c>
      <c r="U6" s="319">
        <f t="shared" ref="U6:W6" si="0">SUM(U4:U5)</f>
        <v>394774</v>
      </c>
      <c r="V6" s="319">
        <f t="shared" si="0"/>
        <v>16809</v>
      </c>
      <c r="W6" s="320">
        <f t="shared" si="0"/>
        <v>28886</v>
      </c>
      <c r="X6" s="321">
        <f>SUM(T6:W6)</f>
        <v>524188</v>
      </c>
      <c r="Z6" s="111">
        <f>V6/Z4</f>
        <v>3.8161595935241752E-2</v>
      </c>
      <c r="AA6" s="111"/>
      <c r="AB6" s="111"/>
    </row>
    <row r="7" spans="2:49" ht="15" thickBot="1" x14ac:dyDescent="0.35">
      <c r="B7" s="410"/>
      <c r="C7" s="2" t="s">
        <v>36</v>
      </c>
      <c r="D7" s="2" t="s">
        <v>38</v>
      </c>
      <c r="E7" s="156">
        <v>0.19044603445082439</v>
      </c>
      <c r="F7" s="298">
        <v>0.3</v>
      </c>
      <c r="G7" s="156">
        <f>Summary!G19</f>
        <v>0.1830995670995671</v>
      </c>
      <c r="H7" s="183">
        <f>(G4*Z5+G5*Z6+G6*Z7)*(G7-E7)*SUM(U7:W7)*(P5-P6)</f>
        <v>-0.84088080854493807</v>
      </c>
      <c r="N7" s="2" t="s">
        <v>191</v>
      </c>
      <c r="O7" s="2" t="s">
        <v>188</v>
      </c>
      <c r="P7" s="159">
        <f>Summary!H20</f>
        <v>634.79936123758864</v>
      </c>
      <c r="R7" s="133"/>
      <c r="S7" s="322" t="s">
        <v>66</v>
      </c>
      <c r="T7" s="323">
        <f>T6/$X$6</f>
        <v>0.15971178279548559</v>
      </c>
      <c r="U7" s="323">
        <f t="shared" ref="U7:W7" si="1">U6/$X$6</f>
        <v>0.7531152945126558</v>
      </c>
      <c r="V7" s="323">
        <f t="shared" si="1"/>
        <v>3.2066739414103339E-2</v>
      </c>
      <c r="W7" s="323">
        <f t="shared" si="1"/>
        <v>5.5106183277755308E-2</v>
      </c>
      <c r="X7" s="324">
        <f>SUM(T7:W7)</f>
        <v>1</v>
      </c>
      <c r="Z7" s="111">
        <f>W6/Z4</f>
        <v>6.558009757780911E-2</v>
      </c>
      <c r="AA7" s="111"/>
      <c r="AB7" s="111"/>
    </row>
    <row r="8" spans="2:49" ht="15" thickBot="1" x14ac:dyDescent="0.35">
      <c r="B8" s="410"/>
      <c r="C8" s="2" t="s">
        <v>9</v>
      </c>
      <c r="D8" s="2" t="s">
        <v>39</v>
      </c>
      <c r="E8" s="171">
        <v>3.8695230564929205E-2</v>
      </c>
      <c r="F8" s="298">
        <v>4.4999999999999998E-2</v>
      </c>
      <c r="G8" s="156">
        <f>Summary!G20</f>
        <v>4.8985296049881152E-2</v>
      </c>
      <c r="H8" s="183">
        <f>(G8-E8)*T7*(P4-P7)</f>
        <v>2.2417028732908197</v>
      </c>
      <c r="N8" s="2" t="s">
        <v>192</v>
      </c>
      <c r="O8" s="2" t="s">
        <v>188</v>
      </c>
      <c r="P8" s="159">
        <f>Summary!H17</f>
        <v>4259.3094727305179</v>
      </c>
      <c r="R8" s="162" t="s">
        <v>62</v>
      </c>
      <c r="S8" s="308" t="s">
        <v>58</v>
      </c>
      <c r="T8" s="426"/>
      <c r="U8" s="427"/>
      <c r="V8" s="427"/>
      <c r="W8" s="428"/>
      <c r="X8" s="325">
        <f>Dashboard!AJ72</f>
        <v>200106</v>
      </c>
    </row>
    <row r="9" spans="2:49" ht="15" thickBot="1" x14ac:dyDescent="0.35">
      <c r="B9" s="410"/>
      <c r="C9" s="2" t="s">
        <v>14</v>
      </c>
      <c r="D9" s="2"/>
      <c r="E9" s="156">
        <v>2.53E-2</v>
      </c>
      <c r="F9" s="299">
        <v>3.5000000000000003E-2</v>
      </c>
      <c r="G9" s="299">
        <f>Dashboard!AM33</f>
        <v>3.7297687089364887E-2</v>
      </c>
      <c r="H9" s="183">
        <f>(G9-E9)*(P8-P9)*(U7+V7+W7)</f>
        <v>15.287563714710309</v>
      </c>
      <c r="N9" s="2" t="s">
        <v>267</v>
      </c>
      <c r="O9" s="2" t="s">
        <v>188</v>
      </c>
      <c r="P9" s="159">
        <f>Summary!H18</f>
        <v>2742.9140132381381</v>
      </c>
      <c r="R9" s="133"/>
      <c r="S9" s="313" t="s">
        <v>59</v>
      </c>
      <c r="T9" s="429"/>
      <c r="U9" s="430"/>
      <c r="V9" s="430"/>
      <c r="W9" s="431"/>
      <c r="X9" s="326">
        <f>Dashboard!AJ73</f>
        <v>226370</v>
      </c>
    </row>
    <row r="10" spans="2:49" ht="15" thickBot="1" x14ac:dyDescent="0.35">
      <c r="B10" s="410"/>
      <c r="C10" s="2" t="s">
        <v>300</v>
      </c>
      <c r="D10" s="2" t="s">
        <v>40</v>
      </c>
      <c r="E10" s="156">
        <v>0</v>
      </c>
      <c r="F10" s="265"/>
      <c r="G10" s="156">
        <f>Dashboard!AL29</f>
        <v>4.0519813502025992E-3</v>
      </c>
      <c r="H10" s="183">
        <f>(G10-E10)*(P8-P10)</f>
        <v>10.741805101700434</v>
      </c>
      <c r="N10" s="2" t="s">
        <v>279</v>
      </c>
      <c r="O10" s="2" t="s">
        <v>188</v>
      </c>
      <c r="P10" s="159">
        <f>Summary!H16</f>
        <v>1608.308845305778</v>
      </c>
      <c r="R10" s="134"/>
      <c r="S10" s="317" t="s">
        <v>213</v>
      </c>
      <c r="T10" s="432"/>
      <c r="U10" s="433"/>
      <c r="V10" s="433"/>
      <c r="W10" s="434"/>
      <c r="X10" s="321">
        <f>X8+X9</f>
        <v>426476</v>
      </c>
    </row>
    <row r="11" spans="2:49" ht="15" thickBot="1" x14ac:dyDescent="0.35">
      <c r="B11" s="410"/>
      <c r="C11" s="2" t="s">
        <v>12</v>
      </c>
      <c r="D11" s="2" t="s">
        <v>40</v>
      </c>
      <c r="E11" s="2"/>
      <c r="F11" s="265"/>
      <c r="G11" s="2"/>
      <c r="H11" s="183">
        <v>0</v>
      </c>
      <c r="N11" s="2" t="s">
        <v>193</v>
      </c>
      <c r="O11" s="2" t="s">
        <v>206</v>
      </c>
      <c r="P11" s="184">
        <v>2.2731619161400847</v>
      </c>
    </row>
    <row r="12" spans="2:49" ht="16.2" thickBot="1" x14ac:dyDescent="0.35">
      <c r="B12" s="411"/>
      <c r="C12" s="2" t="s">
        <v>233</v>
      </c>
      <c r="D12" s="2" t="s">
        <v>40</v>
      </c>
      <c r="E12" s="2"/>
      <c r="F12" s="265"/>
      <c r="G12" s="2"/>
      <c r="H12" s="183">
        <v>0</v>
      </c>
      <c r="N12" s="2" t="s">
        <v>10</v>
      </c>
      <c r="O12" s="2" t="s">
        <v>206</v>
      </c>
      <c r="P12" s="159">
        <f>Summary!H21</f>
        <v>2.2177937329965753</v>
      </c>
      <c r="T12" s="403" t="s">
        <v>239</v>
      </c>
      <c r="U12" s="404"/>
      <c r="V12" s="404"/>
      <c r="W12" s="405"/>
      <c r="AC12"/>
    </row>
    <row r="13" spans="2:49" ht="14.55" customHeight="1" thickBot="1" x14ac:dyDescent="0.35">
      <c r="B13" s="406" t="s">
        <v>30</v>
      </c>
      <c r="C13" s="2" t="s">
        <v>60</v>
      </c>
      <c r="D13" s="2" t="s">
        <v>41</v>
      </c>
      <c r="E13" s="159">
        <v>22.312605709780371</v>
      </c>
      <c r="F13" s="266">
        <v>0.40500000000000003</v>
      </c>
      <c r="G13" s="156">
        <f>Summary!G22</f>
        <v>0.5233054826633402</v>
      </c>
      <c r="H13" s="183">
        <f>Y15</f>
        <v>134.6547230160416</v>
      </c>
      <c r="K13" s="254"/>
      <c r="M13" s="177"/>
      <c r="N13" s="2" t="s">
        <v>225</v>
      </c>
      <c r="O13" s="2" t="s">
        <v>206</v>
      </c>
      <c r="P13" s="159">
        <f>Summary!H22</f>
        <v>1.4623673600684959</v>
      </c>
      <c r="R13" s="192" t="s">
        <v>236</v>
      </c>
      <c r="S13" s="187" t="s">
        <v>234</v>
      </c>
      <c r="T13" s="201" t="s">
        <v>235</v>
      </c>
      <c r="U13" s="187" t="s">
        <v>237</v>
      </c>
      <c r="V13" s="187" t="s">
        <v>254</v>
      </c>
      <c r="W13" s="187"/>
      <c r="X13" s="188" t="s">
        <v>51</v>
      </c>
      <c r="Y13" s="186" t="s">
        <v>238</v>
      </c>
      <c r="AC13"/>
    </row>
    <row r="14" spans="2:49" x14ac:dyDescent="0.3">
      <c r="B14" s="407"/>
      <c r="C14" s="2" t="s">
        <v>218</v>
      </c>
      <c r="D14" s="2" t="s">
        <v>41</v>
      </c>
      <c r="E14" s="159">
        <v>9.6772390389557472</v>
      </c>
      <c r="F14" s="267">
        <v>0.192</v>
      </c>
      <c r="G14" s="156">
        <f>Summary!G23</f>
        <v>0.12967349409582371</v>
      </c>
      <c r="H14" s="183">
        <f>Y14</f>
        <v>8.8495486116428967</v>
      </c>
      <c r="K14" s="254"/>
      <c r="M14" s="177"/>
      <c r="N14" s="2" t="s">
        <v>218</v>
      </c>
      <c r="O14" s="2" t="s">
        <v>206</v>
      </c>
      <c r="P14" s="159">
        <f>Summary!H23</f>
        <v>1.7648313613277313</v>
      </c>
      <c r="R14" s="358" t="s">
        <v>268</v>
      </c>
      <c r="S14" s="196">
        <v>9.6772390389557472</v>
      </c>
      <c r="T14" s="359">
        <f>G14*100</f>
        <v>12.96734940958237</v>
      </c>
      <c r="U14" s="196">
        <f>T14-S14</f>
        <v>3.290110370626623</v>
      </c>
      <c r="V14" s="99" t="s">
        <v>287</v>
      </c>
      <c r="W14" s="99"/>
      <c r="X14" s="196">
        <f>P14</f>
        <v>1.7648313613277313</v>
      </c>
      <c r="Y14" s="360">
        <f>U14%*($X$16-X14)*$P$30*($X$10/$X$6)</f>
        <v>8.8495486116428967</v>
      </c>
      <c r="AC14"/>
      <c r="AW14" s="177"/>
    </row>
    <row r="15" spans="2:49" x14ac:dyDescent="0.3">
      <c r="B15" s="407"/>
      <c r="C15" s="367" t="s">
        <v>10</v>
      </c>
      <c r="D15" s="2" t="s">
        <v>41</v>
      </c>
      <c r="E15" s="159">
        <v>60.543276914271949</v>
      </c>
      <c r="F15" s="268" t="s">
        <v>215</v>
      </c>
      <c r="G15" s="156">
        <f>Summary!G21</f>
        <v>0</v>
      </c>
      <c r="H15" s="183">
        <f>Y16</f>
        <v>0</v>
      </c>
      <c r="K15" s="254"/>
      <c r="M15" s="177"/>
      <c r="N15" s="2" t="s">
        <v>194</v>
      </c>
      <c r="O15" s="2" t="s">
        <v>206</v>
      </c>
      <c r="P15" s="159">
        <f>Summary!H24</f>
        <v>1.9963440984074781</v>
      </c>
      <c r="R15" s="249" t="s">
        <v>269</v>
      </c>
      <c r="S15" s="103">
        <v>22.312605709780371</v>
      </c>
      <c r="T15" s="211">
        <f>G13*100</f>
        <v>52.33054826633402</v>
      </c>
      <c r="U15" s="103">
        <f>T15-S15</f>
        <v>30.017942556553649</v>
      </c>
      <c r="V15" s="26" t="s">
        <v>286</v>
      </c>
      <c r="W15" s="26"/>
      <c r="X15" s="103">
        <f>P13</f>
        <v>1.4623673600684959</v>
      </c>
      <c r="Y15" s="150">
        <f>U15%*($X$16-X15)*$P$30*($X$10/$X$6)</f>
        <v>134.6547230160416</v>
      </c>
      <c r="AC15"/>
      <c r="AW15" s="177"/>
    </row>
    <row r="16" spans="2:49" x14ac:dyDescent="0.3">
      <c r="B16" s="407"/>
      <c r="C16" s="2" t="s">
        <v>11</v>
      </c>
      <c r="D16" s="2" t="s">
        <v>41</v>
      </c>
      <c r="E16" s="159">
        <v>5.4713302521585898E-2</v>
      </c>
      <c r="F16" s="264">
        <v>0.28199999999999997</v>
      </c>
      <c r="G16" s="156">
        <f>Summary!G24</f>
        <v>0.31070367466573318</v>
      </c>
      <c r="H16" s="183">
        <f>Y17</f>
        <v>35.814133281763809</v>
      </c>
      <c r="K16" s="254"/>
      <c r="M16" s="177"/>
      <c r="N16" s="2" t="s">
        <v>195</v>
      </c>
      <c r="O16" s="2" t="s">
        <v>206</v>
      </c>
      <c r="P16" s="159">
        <f>Summary!H25</f>
        <v>0</v>
      </c>
      <c r="R16" s="249" t="s">
        <v>270</v>
      </c>
      <c r="S16" s="103">
        <v>60.543276914271949</v>
      </c>
      <c r="T16" s="211">
        <f>G15</f>
        <v>0</v>
      </c>
      <c r="U16" s="103">
        <f t="shared" ref="U16:U19" si="2">T16-S16</f>
        <v>-60.543276914271949</v>
      </c>
      <c r="V16" s="26"/>
      <c r="W16" s="26"/>
      <c r="X16" s="103">
        <f>P12</f>
        <v>2.2177937329965753</v>
      </c>
      <c r="Y16" s="150">
        <f>U16%*($X$16-X16)*$P$30*($X$10/$X$6)</f>
        <v>0</v>
      </c>
      <c r="AC16"/>
      <c r="AW16" s="177"/>
    </row>
    <row r="17" spans="2:29" ht="43.2" x14ac:dyDescent="0.3">
      <c r="B17" s="407"/>
      <c r="C17" s="225" t="s">
        <v>16</v>
      </c>
      <c r="D17" s="2" t="s">
        <v>41</v>
      </c>
      <c r="E17" s="159">
        <v>1.1559473083809595</v>
      </c>
      <c r="F17" s="264">
        <v>1.7000000000000001E-2</v>
      </c>
      <c r="G17" s="227">
        <f>Summary!G31</f>
        <v>2.6337404218112898E-3</v>
      </c>
      <c r="H17" s="183">
        <f>Y19</f>
        <v>-10.528024466234594</v>
      </c>
      <c r="K17" s="254"/>
      <c r="M17" s="177"/>
      <c r="N17" s="2" t="s">
        <v>226</v>
      </c>
      <c r="O17" s="2" t="s">
        <v>187</v>
      </c>
      <c r="P17" s="159">
        <f>Summary!H35</f>
        <v>757.29297552536798</v>
      </c>
      <c r="R17" s="249" t="s">
        <v>271</v>
      </c>
      <c r="S17" s="103">
        <v>5.4713302521585898E-2</v>
      </c>
      <c r="T17" s="211">
        <f>G16*100</f>
        <v>31.070367466573316</v>
      </c>
      <c r="U17" s="103">
        <f>T17-S17</f>
        <v>31.015654164051732</v>
      </c>
      <c r="V17" s="215" t="s">
        <v>288</v>
      </c>
      <c r="W17" s="26"/>
      <c r="X17" s="103">
        <f>P15</f>
        <v>1.9963440984074781</v>
      </c>
      <c r="Y17" s="306">
        <f>X23</f>
        <v>35.814133281763809</v>
      </c>
      <c r="AC17"/>
    </row>
    <row r="18" spans="2:29" x14ac:dyDescent="0.3">
      <c r="B18" s="407"/>
      <c r="C18" s="225" t="s">
        <v>17</v>
      </c>
      <c r="D18" s="2" t="s">
        <v>41</v>
      </c>
      <c r="E18" s="159">
        <v>6.256217726089397</v>
      </c>
      <c r="F18" s="264">
        <v>0.10299999999999999</v>
      </c>
      <c r="G18" s="227">
        <f>Summary!G30</f>
        <v>3.3536285278227322E-2</v>
      </c>
      <c r="H18" s="183">
        <f>Y18</f>
        <v>-20.416620679743815</v>
      </c>
      <c r="K18" s="254"/>
      <c r="M18" s="177"/>
      <c r="N18" s="2" t="s">
        <v>196</v>
      </c>
      <c r="O18" s="2" t="s">
        <v>187</v>
      </c>
      <c r="P18" s="159">
        <f>Summary!H34</f>
        <v>200</v>
      </c>
      <c r="R18" s="249" t="s">
        <v>272</v>
      </c>
      <c r="S18" s="103">
        <v>6.256217726089397</v>
      </c>
      <c r="T18" s="211">
        <f>G18*100</f>
        <v>3.3536285278227322</v>
      </c>
      <c r="U18" s="103">
        <f t="shared" si="2"/>
        <v>-2.9025891982666647</v>
      </c>
      <c r="V18" s="215"/>
      <c r="W18" s="26"/>
      <c r="X18" s="103">
        <f>P26</f>
        <v>0.81180402076009184</v>
      </c>
      <c r="Y18" s="306">
        <f>X24</f>
        <v>-20.416620679743815</v>
      </c>
      <c r="AC18"/>
    </row>
    <row r="19" spans="2:29" ht="14.55" customHeight="1" thickBot="1" x14ac:dyDescent="0.35">
      <c r="B19" s="408"/>
      <c r="C19" s="2" t="s">
        <v>19</v>
      </c>
      <c r="D19" s="2" t="s">
        <v>43</v>
      </c>
      <c r="E19" s="183">
        <v>726.36</v>
      </c>
      <c r="F19" s="300">
        <v>719</v>
      </c>
      <c r="G19" s="159">
        <f>Summary!D27</f>
        <v>725.00252865981031</v>
      </c>
      <c r="H19" s="183">
        <f>(E19-G19)*P24*(X8/$X$6)</f>
        <v>0.81500868555820905</v>
      </c>
      <c r="K19" s="254"/>
      <c r="N19" s="2" t="s">
        <v>242</v>
      </c>
      <c r="O19" s="2" t="s">
        <v>187</v>
      </c>
      <c r="P19" s="159">
        <f>Summary!H37</f>
        <v>463.72502263174914</v>
      </c>
      <c r="R19" s="140" t="s">
        <v>273</v>
      </c>
      <c r="S19" s="197">
        <v>1.1559473083809595</v>
      </c>
      <c r="T19" s="327">
        <f>G17*100</f>
        <v>0.26337404218112898</v>
      </c>
      <c r="U19" s="197">
        <f t="shared" si="2"/>
        <v>-0.89257326619983046</v>
      </c>
      <c r="V19" s="199"/>
      <c r="W19" s="199"/>
      <c r="X19" s="197">
        <f>P27</f>
        <v>0.01</v>
      </c>
      <c r="Y19" s="307">
        <f>X25</f>
        <v>-10.528024466234594</v>
      </c>
      <c r="AC19"/>
    </row>
    <row r="20" spans="2:29" ht="14.55" customHeight="1" thickBot="1" x14ac:dyDescent="0.35">
      <c r="B20" s="406" t="s">
        <v>33</v>
      </c>
      <c r="C20" s="2" t="s">
        <v>20</v>
      </c>
      <c r="D20" s="2" t="s">
        <v>43</v>
      </c>
      <c r="E20" s="183">
        <v>739.47557390396798</v>
      </c>
      <c r="F20" s="300">
        <v>735</v>
      </c>
      <c r="G20" s="159">
        <f>Summary!E27</f>
        <v>734.43686000795162</v>
      </c>
      <c r="H20" s="183">
        <f>(E20-G20)*P25*(X9/$X$6)</f>
        <v>3.581458649551728</v>
      </c>
      <c r="K20" s="254"/>
      <c r="N20" s="2" t="s">
        <v>243</v>
      </c>
      <c r="O20" s="2" t="s">
        <v>187</v>
      </c>
      <c r="P20" s="159">
        <f>Summary!H36</f>
        <v>200</v>
      </c>
      <c r="S20" s="68"/>
      <c r="T20" s="68"/>
      <c r="AC20"/>
    </row>
    <row r="21" spans="2:29" ht="15" thickBot="1" x14ac:dyDescent="0.35">
      <c r="B21" s="407"/>
      <c r="C21" s="367" t="s">
        <v>18</v>
      </c>
      <c r="D21" s="2" t="s">
        <v>43</v>
      </c>
      <c r="E21" s="159">
        <v>22.483841904539105</v>
      </c>
      <c r="F21" s="301">
        <v>24.873451327433628</v>
      </c>
      <c r="G21" s="183">
        <v>24.51</v>
      </c>
      <c r="H21" s="183">
        <f>(G21-E21)*(P22-P21)*(X10/X6)</f>
        <v>13.61357678163049</v>
      </c>
      <c r="K21" s="254"/>
      <c r="N21" s="2" t="s">
        <v>197</v>
      </c>
      <c r="O21" s="2" t="s">
        <v>198</v>
      </c>
      <c r="P21" s="159">
        <f>Summary!H12</f>
        <v>1.127342856112574</v>
      </c>
      <c r="V21" s="397" t="s">
        <v>11</v>
      </c>
      <c r="W21" s="398"/>
      <c r="X21" s="399"/>
      <c r="AC21"/>
    </row>
    <row r="22" spans="2:29" ht="15" thickBot="1" x14ac:dyDescent="0.35">
      <c r="B22" s="407"/>
      <c r="C22" s="2" t="s">
        <v>21</v>
      </c>
      <c r="D22" s="2" t="s">
        <v>44</v>
      </c>
      <c r="E22" s="159">
        <v>71.069999999999993</v>
      </c>
      <c r="F22" s="183">
        <v>69.470941238219709</v>
      </c>
      <c r="G22" s="159">
        <f>Summary!D28</f>
        <v>63.77</v>
      </c>
      <c r="H22" s="183">
        <f>(E22-G22)*P31*(X4/X6)</f>
        <v>18.664652834479206</v>
      </c>
      <c r="K22" s="254"/>
      <c r="N22" s="2" t="s">
        <v>199</v>
      </c>
      <c r="O22" s="2" t="s">
        <v>207</v>
      </c>
      <c r="P22" s="159">
        <f>Summary!H9</f>
        <v>9.3856569075211986</v>
      </c>
      <c r="U22" s="182"/>
      <c r="V22" s="247" t="s">
        <v>261</v>
      </c>
      <c r="W22" s="131" t="s">
        <v>263</v>
      </c>
      <c r="X22" s="248" t="s">
        <v>262</v>
      </c>
      <c r="AC22"/>
    </row>
    <row r="23" spans="2:29" ht="15" thickBot="1" x14ac:dyDescent="0.35">
      <c r="B23" s="421" t="s">
        <v>34</v>
      </c>
      <c r="C23" s="2" t="s">
        <v>22</v>
      </c>
      <c r="D23" s="2" t="s">
        <v>44</v>
      </c>
      <c r="E23" s="159">
        <v>76.02</v>
      </c>
      <c r="F23" s="183">
        <v>75.79578002091047</v>
      </c>
      <c r="G23" s="159">
        <f>Summary!E28</f>
        <v>71.84</v>
      </c>
      <c r="H23" s="183">
        <f>(E23-G23)*P32*(X5/X6)</f>
        <v>16.087802391508362</v>
      </c>
      <c r="N23" s="2" t="s">
        <v>200</v>
      </c>
      <c r="O23" s="2" t="s">
        <v>207</v>
      </c>
      <c r="P23" s="159">
        <f>Summary!H10</f>
        <v>3.527925866922148</v>
      </c>
      <c r="U23" s="182"/>
      <c r="V23" s="142" t="s">
        <v>274</v>
      </c>
      <c r="W23" s="196">
        <f>+U16+(U15+U14)</f>
        <v>-27.235223987091679</v>
      </c>
      <c r="X23" s="143">
        <f>-W23%*($X$16-X17)*$P$30*($X$10/$X$6)</f>
        <v>35.814133281763809</v>
      </c>
      <c r="AC23"/>
    </row>
    <row r="24" spans="2:29" ht="14.55" customHeight="1" thickBot="1" x14ac:dyDescent="0.35">
      <c r="B24" s="422"/>
      <c r="C24" s="2" t="s">
        <v>27</v>
      </c>
      <c r="D24" s="2" t="s">
        <v>45</v>
      </c>
      <c r="E24" s="171">
        <v>9.6587148954084087E-2</v>
      </c>
      <c r="F24" s="302">
        <v>0.11669211070010266</v>
      </c>
      <c r="G24" s="156">
        <f>Summary!G35</f>
        <v>6.7023372564274972E-2</v>
      </c>
      <c r="H24" s="183">
        <f>(E24-G24)*(P17-P18)*(X10/X6)</f>
        <v>13.404511737293864</v>
      </c>
      <c r="N24" s="2" t="s">
        <v>201</v>
      </c>
      <c r="O24" s="2" t="s">
        <v>206</v>
      </c>
      <c r="P24" s="159">
        <f>Summary!D26</f>
        <v>1.5727457911855423</v>
      </c>
      <c r="R24" s="347" t="s">
        <v>236</v>
      </c>
      <c r="S24" s="354" t="s">
        <v>234</v>
      </c>
      <c r="T24" s="355" t="s">
        <v>235</v>
      </c>
      <c r="V24" s="304" t="s">
        <v>289</v>
      </c>
      <c r="W24" s="305">
        <f>U18</f>
        <v>-2.9025891982666647</v>
      </c>
      <c r="X24" s="124">
        <f>W24%*($X$17-X18)*$P$30*($X$10/$X$6)</f>
        <v>-20.416620679743815</v>
      </c>
      <c r="AC24"/>
    </row>
    <row r="25" spans="2:29" ht="15" thickBot="1" x14ac:dyDescent="0.35">
      <c r="B25" s="422"/>
      <c r="C25" s="2" t="s">
        <v>242</v>
      </c>
      <c r="D25" s="2"/>
      <c r="E25" s="156">
        <v>5.0099999999999999E-2</v>
      </c>
      <c r="F25" s="302">
        <v>5.3499999999999999E-2</v>
      </c>
      <c r="G25" s="156">
        <f>Summary!G37</f>
        <v>2.4542232089110522E-2</v>
      </c>
      <c r="H25" s="183">
        <f>(E25-G25)*(P19-P20)*(X10/X6)</f>
        <v>5.4838022051924371</v>
      </c>
      <c r="L25" s="182"/>
      <c r="M25" s="182"/>
      <c r="N25" s="2" t="s">
        <v>202</v>
      </c>
      <c r="O25" s="2" t="s">
        <v>206</v>
      </c>
      <c r="P25" s="159">
        <f>Summary!E26</f>
        <v>1.6459189511654133</v>
      </c>
      <c r="R25" s="348" t="s">
        <v>268</v>
      </c>
      <c r="S25" s="352">
        <f t="shared" ref="S25:S30" si="3">AA46</f>
        <v>1.675862002552738</v>
      </c>
      <c r="T25" s="353">
        <v>1.7648313613277313</v>
      </c>
      <c r="V25" s="140" t="s">
        <v>275</v>
      </c>
      <c r="W25" s="197">
        <f>U19</f>
        <v>-0.89257326619983046</v>
      </c>
      <c r="X25" s="124">
        <f>W25%*($X$17-X19)*$P$30*($X$10/$X$6)</f>
        <v>-10.528024466234594</v>
      </c>
    </row>
    <row r="26" spans="2:29" x14ac:dyDescent="0.3">
      <c r="B26" s="422"/>
      <c r="C26" s="2" t="s">
        <v>29</v>
      </c>
      <c r="D26" s="2" t="s">
        <v>46</v>
      </c>
      <c r="E26" s="2"/>
      <c r="F26" s="225"/>
      <c r="G26" s="2"/>
      <c r="H26" s="183"/>
      <c r="N26" s="2" t="s">
        <v>17</v>
      </c>
      <c r="O26" s="2" t="s">
        <v>206</v>
      </c>
      <c r="P26" s="159">
        <f>Summary!H30</f>
        <v>0.81180402076009184</v>
      </c>
      <c r="R26" s="348" t="s">
        <v>269</v>
      </c>
      <c r="S26" s="241">
        <f t="shared" si="3"/>
        <v>1.55443298536344</v>
      </c>
      <c r="T26" s="242">
        <v>1.4623673600684959</v>
      </c>
    </row>
    <row r="27" spans="2:29" ht="15" thickBot="1" x14ac:dyDescent="0.35">
      <c r="B27" s="423"/>
      <c r="C27" s="2" t="s">
        <v>28</v>
      </c>
      <c r="D27" s="2"/>
      <c r="E27" s="171">
        <v>0.124</v>
      </c>
      <c r="F27" s="303">
        <v>0.18</v>
      </c>
      <c r="G27" s="156">
        <f>Summary!G33</f>
        <v>3.747118881658263E-2</v>
      </c>
      <c r="H27" s="232">
        <f>(E27-G27)*P34/X6</f>
        <v>5.2823070308159592E-6</v>
      </c>
      <c r="N27" s="2" t="s">
        <v>16</v>
      </c>
      <c r="O27" s="2" t="s">
        <v>206</v>
      </c>
      <c r="P27" s="159">
        <f>Summary!H31</f>
        <v>0.01</v>
      </c>
      <c r="R27" s="348" t="s">
        <v>270</v>
      </c>
      <c r="S27" s="241">
        <f t="shared" si="3"/>
        <v>2.1913404087392916</v>
      </c>
      <c r="T27" s="242">
        <v>0</v>
      </c>
    </row>
    <row r="28" spans="2:29" x14ac:dyDescent="0.3">
      <c r="B28" s="406" t="s">
        <v>35</v>
      </c>
      <c r="C28" s="2" t="s">
        <v>32</v>
      </c>
      <c r="D28" s="2" t="s">
        <v>48</v>
      </c>
      <c r="E28" s="2"/>
      <c r="F28" s="265"/>
      <c r="G28" s="2"/>
      <c r="H28" s="225">
        <v>0</v>
      </c>
      <c r="N28" s="2" t="s">
        <v>12</v>
      </c>
      <c r="O28" s="2" t="s">
        <v>187</v>
      </c>
      <c r="P28" s="159"/>
      <c r="R28" s="348" t="s">
        <v>271</v>
      </c>
      <c r="S28" s="241">
        <f t="shared" si="3"/>
        <v>2.3237510909620078</v>
      </c>
      <c r="T28" s="242">
        <v>1.9963440984074781</v>
      </c>
    </row>
    <row r="29" spans="2:29" ht="15" thickBot="1" x14ac:dyDescent="0.35">
      <c r="B29" s="407"/>
      <c r="C29" s="3" t="s">
        <v>26</v>
      </c>
      <c r="D29" s="3"/>
      <c r="E29" s="3"/>
      <c r="F29" s="269"/>
      <c r="G29" s="3"/>
      <c r="H29" s="228">
        <v>0</v>
      </c>
      <c r="N29" s="2" t="s">
        <v>13</v>
      </c>
      <c r="O29" s="2" t="s">
        <v>187</v>
      </c>
      <c r="P29" s="159">
        <f>Summary!H15</f>
        <v>0</v>
      </c>
      <c r="R29" s="348" t="s">
        <v>272</v>
      </c>
      <c r="S29" s="241">
        <f t="shared" si="3"/>
        <v>0.9178023236655809</v>
      </c>
      <c r="T29" s="242">
        <v>1.1852668223102305E-5</v>
      </c>
      <c r="U29" s="255"/>
    </row>
    <row r="30" spans="2:29" ht="15" thickBot="1" x14ac:dyDescent="0.35">
      <c r="B30" s="408"/>
      <c r="N30" s="2" t="s">
        <v>203</v>
      </c>
      <c r="O30" s="2" t="s">
        <v>208</v>
      </c>
      <c r="P30" s="183">
        <f>Summary!F27</f>
        <v>729.86242303654967</v>
      </c>
      <c r="R30" s="349" t="s">
        <v>273</v>
      </c>
      <c r="S30" s="350">
        <f t="shared" si="3"/>
        <v>0.17376282363017423</v>
      </c>
      <c r="T30" s="351">
        <v>0.81180402076009184</v>
      </c>
    </row>
    <row r="31" spans="2:29" ht="21.6" thickBot="1" x14ac:dyDescent="0.45">
      <c r="B31" s="406" t="s">
        <v>219</v>
      </c>
      <c r="G31" s="175" t="s">
        <v>230</v>
      </c>
      <c r="H31" s="176">
        <f>SUM(H4:H29)</f>
        <v>252.69864382579877</v>
      </c>
      <c r="N31" s="2" t="s">
        <v>240</v>
      </c>
      <c r="O31" s="2" t="s">
        <v>207</v>
      </c>
      <c r="P31" s="159">
        <f>Summary!D11</f>
        <v>7.6</v>
      </c>
      <c r="S31" s="356">
        <f>X55</f>
        <v>1.8939047669761893</v>
      </c>
      <c r="T31" s="357">
        <v>1.6348925286041187</v>
      </c>
      <c r="AB31" s="177"/>
    </row>
    <row r="32" spans="2:29" x14ac:dyDescent="0.3">
      <c r="B32" s="407"/>
      <c r="C32" t="s">
        <v>278</v>
      </c>
      <c r="H32">
        <v>148</v>
      </c>
      <c r="N32" s="2" t="s">
        <v>241</v>
      </c>
      <c r="O32" s="2" t="s">
        <v>207</v>
      </c>
      <c r="P32" s="159">
        <f>Summary!E11</f>
        <v>5.8</v>
      </c>
      <c r="AB32" s="177"/>
    </row>
    <row r="33" spans="2:28" ht="15" thickBot="1" x14ac:dyDescent="0.35">
      <c r="B33" s="408"/>
      <c r="H33" s="182">
        <f>H31-H32</f>
        <v>104.69864382579877</v>
      </c>
      <c r="N33" s="2" t="s">
        <v>204</v>
      </c>
      <c r="O33" s="2" t="s">
        <v>207</v>
      </c>
      <c r="P33" s="159">
        <f>Summary!H11</f>
        <v>6.5660875503360279</v>
      </c>
      <c r="T33" s="68">
        <f>S31-T31</f>
        <v>0.25901223837207055</v>
      </c>
      <c r="V33" s="182"/>
    </row>
    <row r="34" spans="2:28" ht="15" thickBot="1" x14ac:dyDescent="0.35">
      <c r="N34" s="3" t="s">
        <v>205</v>
      </c>
      <c r="O34" s="3" t="s">
        <v>187</v>
      </c>
      <c r="P34" s="362">
        <v>32</v>
      </c>
      <c r="T34" s="68">
        <f>T33*P30</f>
        <v>189.04329989435979</v>
      </c>
      <c r="V34" s="182"/>
      <c r="AB34" s="177"/>
    </row>
    <row r="36" spans="2:28" x14ac:dyDescent="0.3">
      <c r="L36" s="182"/>
    </row>
    <row r="38" spans="2:28" x14ac:dyDescent="0.3">
      <c r="H38" s="182"/>
    </row>
    <row r="44" spans="2:28" ht="15" thickBot="1" x14ac:dyDescent="0.35"/>
    <row r="45" spans="2:28" ht="15" thickBot="1" x14ac:dyDescent="0.35">
      <c r="V45" s="335" t="s">
        <v>290</v>
      </c>
      <c r="W45" s="336"/>
      <c r="X45" s="337" t="s">
        <v>295</v>
      </c>
      <c r="Y45" s="337" t="s">
        <v>296</v>
      </c>
      <c r="Z45" s="336" t="s">
        <v>297</v>
      </c>
      <c r="AA45" s="346" t="s">
        <v>299</v>
      </c>
    </row>
    <row r="46" spans="2:28" x14ac:dyDescent="0.3">
      <c r="V46" s="338" t="s">
        <v>268</v>
      </c>
      <c r="W46" s="339" t="s">
        <v>291</v>
      </c>
      <c r="X46" s="333">
        <v>1.7394288612853075</v>
      </c>
      <c r="Y46" s="334">
        <v>1.639064056531808</v>
      </c>
      <c r="Z46" s="334">
        <v>1.622533371193619</v>
      </c>
      <c r="AA46" s="68">
        <f t="shared" ref="AA46:AA51" si="4">((X46*$X$53)+(Y46*$Y$53)+(Z46*$Z$53))/$AA$54</f>
        <v>1.675862002552738</v>
      </c>
    </row>
    <row r="47" spans="2:28" x14ac:dyDescent="0.3">
      <c r="V47" s="340" t="s">
        <v>292</v>
      </c>
      <c r="W47" s="341" t="s">
        <v>291</v>
      </c>
      <c r="X47" s="332">
        <v>1.6204759217171807</v>
      </c>
      <c r="Y47" s="331">
        <v>1.5054830413151352</v>
      </c>
      <c r="Z47" s="331">
        <v>1.5098233885569623</v>
      </c>
      <c r="AA47" s="68">
        <f t="shared" si="4"/>
        <v>1.55443298536344</v>
      </c>
    </row>
    <row r="48" spans="2:28" x14ac:dyDescent="0.3">
      <c r="V48" s="342" t="s">
        <v>293</v>
      </c>
      <c r="W48" s="341" t="s">
        <v>291</v>
      </c>
      <c r="X48" s="332">
        <v>2.1816644553607154</v>
      </c>
      <c r="Y48" s="331">
        <v>2.2083107494921683</v>
      </c>
      <c r="Z48" s="331">
        <v>2.1880064698375121</v>
      </c>
      <c r="AA48" s="68">
        <f t="shared" si="4"/>
        <v>2.1913404087392916</v>
      </c>
    </row>
    <row r="49" spans="22:27" x14ac:dyDescent="0.3">
      <c r="V49" s="340" t="s">
        <v>294</v>
      </c>
      <c r="W49" s="341" t="s">
        <v>291</v>
      </c>
      <c r="X49" s="332">
        <v>2.542221342265448</v>
      </c>
      <c r="Y49" s="331">
        <v>0</v>
      </c>
      <c r="Z49" s="331">
        <v>2.0130823499290531</v>
      </c>
      <c r="AA49" s="68">
        <f>((X49*$X$53)+(Z49*$Z$53))/(X53+Z53)</f>
        <v>2.3237510909620078</v>
      </c>
    </row>
    <row r="50" spans="22:27" x14ac:dyDescent="0.3">
      <c r="V50" s="342" t="s">
        <v>272</v>
      </c>
      <c r="W50" s="341" t="s">
        <v>291</v>
      </c>
      <c r="X50" s="332">
        <v>1.1216322804567966</v>
      </c>
      <c r="Y50" s="331">
        <v>0.86482469649133342</v>
      </c>
      <c r="Z50" s="331">
        <v>0.68131390496979893</v>
      </c>
      <c r="AA50" s="68">
        <f t="shared" si="4"/>
        <v>0.9178023236655809</v>
      </c>
    </row>
    <row r="51" spans="22:27" ht="15" thickBot="1" x14ac:dyDescent="0.35">
      <c r="V51" s="343" t="s">
        <v>273</v>
      </c>
      <c r="W51" s="344" t="s">
        <v>291</v>
      </c>
      <c r="X51" s="332">
        <v>-2.8700713998827461E-2</v>
      </c>
      <c r="Y51" s="331">
        <v>0.3405661461290535</v>
      </c>
      <c r="Z51" s="331">
        <v>0.29365758631527916</v>
      </c>
      <c r="AA51" s="68">
        <f t="shared" si="4"/>
        <v>0.17376282363017423</v>
      </c>
    </row>
    <row r="52" spans="22:27" x14ac:dyDescent="0.3">
      <c r="V52" s="345"/>
      <c r="W52" s="346"/>
      <c r="X52" s="330">
        <v>1.8938549227904842</v>
      </c>
      <c r="Y52" s="330">
        <v>1.8578163413484616</v>
      </c>
      <c r="Z52" s="330">
        <v>1.9303256024114235</v>
      </c>
      <c r="AA52" s="68"/>
    </row>
    <row r="53" spans="22:27" x14ac:dyDescent="0.3">
      <c r="V53" s="345" t="s">
        <v>298</v>
      </c>
      <c r="X53" s="330">
        <v>4.0657499999999995</v>
      </c>
      <c r="Y53" s="330">
        <v>2.8798599999999999</v>
      </c>
      <c r="Z53" s="330">
        <v>2.85914</v>
      </c>
    </row>
    <row r="54" spans="22:27" x14ac:dyDescent="0.3">
      <c r="AA54" s="330">
        <f>SUM(X53:Z53)</f>
        <v>9.8047499999999985</v>
      </c>
    </row>
    <row r="55" spans="22:27" x14ac:dyDescent="0.3">
      <c r="X55" s="68">
        <f>((X52*X53)+(Y52*Y53)+(Z52*Z53))/AA54</f>
        <v>1.8939047669761893</v>
      </c>
    </row>
  </sheetData>
  <mergeCells count="11">
    <mergeCell ref="B20:B22"/>
    <mergeCell ref="B23:B27"/>
    <mergeCell ref="B28:B30"/>
    <mergeCell ref="B31:B33"/>
    <mergeCell ref="V21:X21"/>
    <mergeCell ref="B13:B19"/>
    <mergeCell ref="B4:B12"/>
    <mergeCell ref="T8:W8"/>
    <mergeCell ref="T9:W9"/>
    <mergeCell ref="T10:W10"/>
    <mergeCell ref="T12:W1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V50"/>
  <sheetViews>
    <sheetView topLeftCell="B1" zoomScale="62" zoomScaleNormal="72" workbookViewId="0">
      <pane xSplit="2" topLeftCell="D1" activePane="topRight" state="frozen"/>
      <selection activeCell="B1" sqref="B1"/>
      <selection pane="topRight" activeCell="M23" sqref="M23"/>
    </sheetView>
  </sheetViews>
  <sheetFormatPr defaultRowHeight="14.4" x14ac:dyDescent="0.3"/>
  <cols>
    <col min="2" max="2" width="12.21875" customWidth="1"/>
    <col min="3" max="3" width="32.21875" bestFit="1" customWidth="1"/>
    <col min="4" max="4" width="20.109375" bestFit="1" customWidth="1"/>
    <col min="5" max="5" width="11" bestFit="1" customWidth="1"/>
    <col min="6" max="6" width="10.21875" bestFit="1" customWidth="1"/>
    <col min="7" max="7" width="11.77734375" bestFit="1" customWidth="1"/>
    <col min="8" max="8" width="17.77734375" bestFit="1" customWidth="1"/>
    <col min="9" max="10" width="17.77734375" hidden="1" customWidth="1"/>
    <col min="13" max="13" width="17.5546875" bestFit="1" customWidth="1"/>
    <col min="17" max="17" width="25.77734375" bestFit="1" customWidth="1"/>
    <col min="20" max="20" width="24.5546875" bestFit="1" customWidth="1"/>
    <col min="21" max="21" width="17.77734375" bestFit="1" customWidth="1"/>
    <col min="23" max="23" width="9.88671875" bestFit="1" customWidth="1"/>
    <col min="24" max="24" width="13.77734375" bestFit="1" customWidth="1"/>
    <col min="25" max="27" width="11.33203125" customWidth="1"/>
    <col min="28" max="28" width="12.109375" style="6" customWidth="1"/>
    <col min="29" max="29" width="13.44140625" customWidth="1"/>
    <col min="32" max="32" width="18" bestFit="1" customWidth="1"/>
    <col min="33" max="33" width="24.5546875" bestFit="1" customWidth="1"/>
    <col min="34" max="34" width="10.77734375" customWidth="1"/>
  </cols>
  <sheetData>
    <row r="1" spans="2:48" ht="15" thickBot="1" x14ac:dyDescent="0.35"/>
    <row r="2" spans="2:48" ht="15" thickBot="1" x14ac:dyDescent="0.35">
      <c r="C2" s="4" t="s">
        <v>3</v>
      </c>
      <c r="D2" s="4" t="s">
        <v>4</v>
      </c>
      <c r="E2" s="4" t="s">
        <v>0</v>
      </c>
      <c r="F2" s="4" t="s">
        <v>1</v>
      </c>
      <c r="G2" s="4" t="s">
        <v>2</v>
      </c>
      <c r="H2" s="178" t="s">
        <v>5</v>
      </c>
      <c r="I2" s="161" t="s">
        <v>220</v>
      </c>
      <c r="J2" s="161" t="s">
        <v>221</v>
      </c>
    </row>
    <row r="3" spans="2:48" ht="15" thickBot="1" x14ac:dyDescent="0.35">
      <c r="C3" s="1"/>
      <c r="D3" s="1"/>
      <c r="E3" s="1"/>
      <c r="F3" s="1"/>
      <c r="G3" s="1"/>
      <c r="H3" s="1"/>
      <c r="M3" s="4" t="s">
        <v>3</v>
      </c>
      <c r="N3" s="4" t="s">
        <v>4</v>
      </c>
      <c r="O3" s="4" t="s">
        <v>51</v>
      </c>
      <c r="Q3" s="162"/>
      <c r="R3" s="162"/>
      <c r="S3" s="163" t="s">
        <v>209</v>
      </c>
      <c r="T3" s="164" t="s">
        <v>210</v>
      </c>
      <c r="U3" s="164" t="s">
        <v>211</v>
      </c>
      <c r="V3" s="165" t="s">
        <v>212</v>
      </c>
      <c r="W3" s="4" t="s">
        <v>213</v>
      </c>
    </row>
    <row r="4" spans="2:48" ht="15" thickBot="1" x14ac:dyDescent="0.35">
      <c r="B4" s="409" t="s">
        <v>37</v>
      </c>
      <c r="C4" s="2" t="s">
        <v>6</v>
      </c>
      <c r="D4" s="2" t="s">
        <v>38</v>
      </c>
      <c r="E4" s="171">
        <v>0.3262123377437619</v>
      </c>
      <c r="F4" s="173">
        <v>0.33600000000000002</v>
      </c>
      <c r="G4" s="156">
        <f>Summary!G6</f>
        <v>0.33176197013987752</v>
      </c>
      <c r="H4" s="183">
        <f>(G4-E4)*($O$4-O5)*T7</f>
        <v>6.3008656846945694</v>
      </c>
      <c r="M4" s="1" t="s">
        <v>186</v>
      </c>
      <c r="N4" s="1" t="s">
        <v>188</v>
      </c>
      <c r="O4" s="1">
        <f>Summary!H29</f>
        <v>1998.8263152724808</v>
      </c>
      <c r="Q4" s="4" t="s">
        <v>63</v>
      </c>
      <c r="R4" s="138" t="s">
        <v>58</v>
      </c>
      <c r="S4" s="125">
        <f>Dashboard!AJ100</f>
        <v>0</v>
      </c>
      <c r="T4" s="99">
        <f>Dashboard!AJ96+Dashboard!AJ97</f>
        <v>4101</v>
      </c>
      <c r="U4" s="99" t="b">
        <f>Dashboard!AJ98</f>
        <v>1</v>
      </c>
      <c r="V4" s="139">
        <f>Dashboard!AJ99</f>
        <v>0</v>
      </c>
      <c r="W4" s="144">
        <f>SUM(S4:V4)</f>
        <v>4101</v>
      </c>
      <c r="Y4">
        <f>SUM(T6:V6)</f>
        <v>5247.1034002500819</v>
      </c>
    </row>
    <row r="5" spans="2:48" ht="15" thickBot="1" x14ac:dyDescent="0.35">
      <c r="B5" s="410"/>
      <c r="C5" s="2" t="s">
        <v>7</v>
      </c>
      <c r="D5" s="2" t="s">
        <v>38</v>
      </c>
      <c r="E5" s="171">
        <v>0.27162679257965888</v>
      </c>
      <c r="F5" s="173">
        <v>0.28399999999999997</v>
      </c>
      <c r="G5" s="156">
        <f>Summary!G7</f>
        <v>0.27871973347611401</v>
      </c>
      <c r="H5" s="183">
        <f>(G5-E5)*($O$4-O5)*U7</f>
        <v>0</v>
      </c>
      <c r="M5" s="2" t="s">
        <v>189</v>
      </c>
      <c r="N5" s="2" t="s">
        <v>188</v>
      </c>
      <c r="O5" s="2">
        <f>Summary!H6</f>
        <v>863.46</v>
      </c>
      <c r="Q5" s="133"/>
      <c r="R5" s="137" t="s">
        <v>59</v>
      </c>
      <c r="S5" s="135">
        <f>Dashboard!AJ103</f>
        <v>0</v>
      </c>
      <c r="T5" s="129">
        <f>Dashboard!AJ101+Dashboard!AJ102</f>
        <v>1146.1034002500814</v>
      </c>
      <c r="U5" s="129"/>
      <c r="V5" s="130"/>
      <c r="W5" s="144">
        <f>SUM(S5:V5)</f>
        <v>1146.1034002500814</v>
      </c>
      <c r="Y5" s="111">
        <f>T6/Y4</f>
        <v>1</v>
      </c>
      <c r="Z5" s="111"/>
      <c r="AA5" s="111"/>
    </row>
    <row r="6" spans="2:48" ht="15" thickBot="1" x14ac:dyDescent="0.35">
      <c r="B6" s="410"/>
      <c r="C6" s="2" t="s">
        <v>8</v>
      </c>
      <c r="D6" s="2" t="s">
        <v>38</v>
      </c>
      <c r="E6" s="156">
        <v>0.29799999999999999</v>
      </c>
      <c r="F6" s="173">
        <v>0.311</v>
      </c>
      <c r="G6" s="156">
        <f>Summary!G8</f>
        <v>0.30184172263380182</v>
      </c>
      <c r="H6" s="183">
        <f>(G6-E6)*($O$4-O5)*V7</f>
        <v>0</v>
      </c>
      <c r="M6" s="2" t="s">
        <v>190</v>
      </c>
      <c r="N6" s="2" t="s">
        <v>188</v>
      </c>
      <c r="O6" s="2">
        <f>Summary!H19</f>
        <v>447.88351524652012</v>
      </c>
      <c r="Q6" s="133"/>
      <c r="R6" s="127" t="s">
        <v>213</v>
      </c>
      <c r="S6" s="136">
        <f>SUM(S4:S5)</f>
        <v>0</v>
      </c>
      <c r="T6" s="131">
        <f t="shared" ref="T6:V6" si="0">SUM(T4:T5)</f>
        <v>5247.1034002500819</v>
      </c>
      <c r="U6" s="131">
        <f t="shared" si="0"/>
        <v>0</v>
      </c>
      <c r="V6" s="132">
        <f t="shared" si="0"/>
        <v>0</v>
      </c>
      <c r="W6" s="128">
        <f>SUM(S6:V6)</f>
        <v>5247.1034002500819</v>
      </c>
      <c r="Y6" s="111">
        <f>U6/Y4</f>
        <v>0</v>
      </c>
      <c r="Z6" s="111"/>
      <c r="AA6" s="111"/>
    </row>
    <row r="7" spans="2:48" ht="15" thickBot="1" x14ac:dyDescent="0.35">
      <c r="B7" s="410"/>
      <c r="C7" s="2" t="s">
        <v>36</v>
      </c>
      <c r="D7" s="2" t="s">
        <v>38</v>
      </c>
      <c r="E7" s="171">
        <v>0.13243099945127981</v>
      </c>
      <c r="F7" s="173">
        <v>0.24</v>
      </c>
      <c r="G7" s="156">
        <f>Summary!G19</f>
        <v>0.1830995670995671</v>
      </c>
      <c r="H7" s="183">
        <f>(G4*Y5+G5*Y6+G6*Y7)*(G7-E7)*SUM(T7:V7)*(O5-O6)</f>
        <v>6.9858007415358232</v>
      </c>
      <c r="M7" s="2" t="s">
        <v>191</v>
      </c>
      <c r="N7" s="2" t="s">
        <v>188</v>
      </c>
      <c r="O7" s="2">
        <f>Summary!H20</f>
        <v>634.79936123758864</v>
      </c>
      <c r="Q7" s="133"/>
      <c r="R7" s="126" t="s">
        <v>66</v>
      </c>
      <c r="S7" s="147">
        <f>S6/$W$6</f>
        <v>0</v>
      </c>
      <c r="T7" s="147">
        <f t="shared" ref="T7:V7" si="1">T6/$W$6</f>
        <v>1</v>
      </c>
      <c r="U7" s="147">
        <f t="shared" si="1"/>
        <v>0</v>
      </c>
      <c r="V7" s="147">
        <f t="shared" si="1"/>
        <v>0</v>
      </c>
      <c r="W7" s="146">
        <f>SUM(S7:V7)</f>
        <v>1</v>
      </c>
      <c r="Y7" s="111">
        <f>V6/Y4</f>
        <v>0</v>
      </c>
      <c r="Z7" s="111"/>
      <c r="AA7" s="111"/>
    </row>
    <row r="8" spans="2:48" ht="15" thickBot="1" x14ac:dyDescent="0.35">
      <c r="B8" s="410"/>
      <c r="C8" s="2" t="s">
        <v>9</v>
      </c>
      <c r="D8" s="2" t="s">
        <v>39</v>
      </c>
      <c r="E8" s="171">
        <v>3.8695230564929205E-2</v>
      </c>
      <c r="F8" s="173">
        <v>4.4999999999999998E-2</v>
      </c>
      <c r="G8" s="156">
        <f>Summary!G20</f>
        <v>4.8985296049881152E-2</v>
      </c>
      <c r="H8" s="183">
        <f>(G8-E8)*S7*(O4-O7)</f>
        <v>0</v>
      </c>
      <c r="M8" s="2" t="s">
        <v>192</v>
      </c>
      <c r="N8" s="2" t="s">
        <v>188</v>
      </c>
      <c r="O8" s="2">
        <f>Summary!H17</f>
        <v>4259.3094727305179</v>
      </c>
      <c r="Q8" s="162" t="s">
        <v>62</v>
      </c>
      <c r="R8" s="138" t="s">
        <v>58</v>
      </c>
      <c r="S8" s="412"/>
      <c r="T8" s="413"/>
      <c r="U8" s="413"/>
      <c r="V8" s="414"/>
      <c r="W8" s="1">
        <f>Summary!D29</f>
        <v>200106</v>
      </c>
    </row>
    <row r="9" spans="2:48" ht="15" thickBot="1" x14ac:dyDescent="0.35">
      <c r="B9" s="410"/>
      <c r="C9" s="2" t="s">
        <v>14</v>
      </c>
      <c r="D9" s="2"/>
      <c r="E9" s="156">
        <v>2.53E-2</v>
      </c>
      <c r="F9" s="156">
        <v>3.1E-2</v>
      </c>
      <c r="G9" s="156">
        <f>Dashboard!AL33</f>
        <v>1.5875983425793799E-2</v>
      </c>
      <c r="H9" s="183">
        <f>(G9-E9)*(O8-O9)*(T7+U7+V7)</f>
        <v>-13.246624970740518</v>
      </c>
      <c r="M9" s="2" t="s">
        <v>266</v>
      </c>
      <c r="N9" s="2" t="s">
        <v>188</v>
      </c>
      <c r="O9" s="2">
        <v>2853.6853562580463</v>
      </c>
      <c r="Q9" s="133"/>
      <c r="R9" s="137" t="s">
        <v>59</v>
      </c>
      <c r="S9" s="415"/>
      <c r="T9" s="416"/>
      <c r="U9" s="416"/>
      <c r="V9" s="417"/>
      <c r="W9" s="145">
        <f>Summary!E29</f>
        <v>226370</v>
      </c>
    </row>
    <row r="10" spans="2:48" ht="15" thickBot="1" x14ac:dyDescent="0.35">
      <c r="B10" s="410"/>
      <c r="C10" s="2" t="s">
        <v>232</v>
      </c>
      <c r="D10" s="2" t="s">
        <v>40</v>
      </c>
      <c r="E10" s="156">
        <v>0</v>
      </c>
      <c r="F10" s="2"/>
      <c r="G10" s="156">
        <v>0</v>
      </c>
      <c r="H10" s="183">
        <f>(G10-E10)*(O8-O28)</f>
        <v>0</v>
      </c>
      <c r="M10" s="2" t="s">
        <v>193</v>
      </c>
      <c r="N10" s="2" t="s">
        <v>206</v>
      </c>
      <c r="O10" s="184">
        <v>2.2731619161400847</v>
      </c>
      <c r="Q10" s="134"/>
      <c r="R10" s="127" t="s">
        <v>213</v>
      </c>
      <c r="S10" s="418"/>
      <c r="T10" s="419"/>
      <c r="U10" s="419"/>
      <c r="V10" s="420"/>
      <c r="W10" s="128">
        <f>W8+W9</f>
        <v>426476</v>
      </c>
    </row>
    <row r="11" spans="2:48" ht="15" thickBot="1" x14ac:dyDescent="0.35">
      <c r="B11" s="410"/>
      <c r="C11" s="2" t="s">
        <v>12</v>
      </c>
      <c r="D11" s="2" t="s">
        <v>40</v>
      </c>
      <c r="E11" s="2"/>
      <c r="F11" s="2"/>
      <c r="G11" s="2"/>
      <c r="H11" s="183">
        <v>0</v>
      </c>
      <c r="M11" s="2" t="s">
        <v>10</v>
      </c>
      <c r="N11" s="2" t="s">
        <v>206</v>
      </c>
      <c r="O11" s="2">
        <f>Summary!H21</f>
        <v>2.2177937329965753</v>
      </c>
    </row>
    <row r="12" spans="2:48" ht="16.2" thickBot="1" x14ac:dyDescent="0.35">
      <c r="B12" s="411"/>
      <c r="C12" s="2" t="s">
        <v>233</v>
      </c>
      <c r="D12" s="2" t="s">
        <v>40</v>
      </c>
      <c r="E12" s="2"/>
      <c r="F12" s="2"/>
      <c r="G12" s="2"/>
      <c r="H12" s="183">
        <v>0</v>
      </c>
      <c r="M12" s="2" t="s">
        <v>225</v>
      </c>
      <c r="N12" s="2" t="s">
        <v>206</v>
      </c>
      <c r="O12" s="2">
        <f>Summary!H22</f>
        <v>1.4623673600684959</v>
      </c>
      <c r="S12" s="403" t="s">
        <v>239</v>
      </c>
      <c r="T12" s="404"/>
      <c r="U12" s="404"/>
      <c r="V12" s="405"/>
    </row>
    <row r="13" spans="2:48" ht="14.55" customHeight="1" thickBot="1" x14ac:dyDescent="0.35">
      <c r="B13" s="406" t="s">
        <v>30</v>
      </c>
      <c r="C13" s="2" t="s">
        <v>60</v>
      </c>
      <c r="D13" s="2" t="s">
        <v>41</v>
      </c>
      <c r="E13" s="156">
        <v>0.1183</v>
      </c>
      <c r="F13" s="424">
        <v>0.59689999999999999</v>
      </c>
      <c r="G13" s="156">
        <f>Summary!G22</f>
        <v>0.5233054826633402</v>
      </c>
      <c r="H13" s="183">
        <f>X16</f>
        <v>2703.2277157553672</v>
      </c>
      <c r="L13" s="177">
        <f>E13-G13</f>
        <v>-0.40500548266334019</v>
      </c>
      <c r="M13" s="2" t="s">
        <v>218</v>
      </c>
      <c r="N13" s="2" t="s">
        <v>206</v>
      </c>
      <c r="O13" s="2">
        <f>Summary!H23</f>
        <v>1.7648313613277313</v>
      </c>
      <c r="Q13" s="192" t="s">
        <v>236</v>
      </c>
      <c r="R13" s="187" t="s">
        <v>234</v>
      </c>
      <c r="S13" s="201" t="s">
        <v>235</v>
      </c>
      <c r="T13" s="187" t="s">
        <v>237</v>
      </c>
      <c r="U13" s="187" t="s">
        <v>254</v>
      </c>
      <c r="V13" s="187"/>
      <c r="W13" s="188" t="s">
        <v>51</v>
      </c>
      <c r="X13" s="186" t="s">
        <v>238</v>
      </c>
    </row>
    <row r="14" spans="2:48" x14ac:dyDescent="0.3">
      <c r="B14" s="407"/>
      <c r="C14" s="2" t="s">
        <v>218</v>
      </c>
      <c r="D14" s="2" t="s">
        <v>41</v>
      </c>
      <c r="E14" s="156">
        <v>0.16689999999999999</v>
      </c>
      <c r="F14" s="425"/>
      <c r="G14" s="156">
        <f>Summary!G23</f>
        <v>0.12967349409582371</v>
      </c>
      <c r="H14" s="183">
        <f>X14</f>
        <v>-4385.7334026331255</v>
      </c>
      <c r="L14" s="177">
        <f t="shared" ref="L14:L16" si="2">E14-G14</f>
        <v>3.7226505904176282E-2</v>
      </c>
      <c r="M14" s="2" t="s">
        <v>194</v>
      </c>
      <c r="N14" s="2" t="s">
        <v>206</v>
      </c>
      <c r="O14" s="2">
        <f>Summary!H24</f>
        <v>1.9963440984074781</v>
      </c>
      <c r="Q14" s="193" t="s">
        <v>244</v>
      </c>
      <c r="R14" s="205">
        <v>0.16321652393386099</v>
      </c>
      <c r="S14" s="205">
        <f>Dashboard!AJ152</f>
        <v>0</v>
      </c>
      <c r="T14" s="237">
        <f>S14-R14</f>
        <v>-0.16321652393386099</v>
      </c>
      <c r="U14" s="238" t="s">
        <v>257</v>
      </c>
      <c r="V14" s="99"/>
      <c r="W14" s="200">
        <f>O13</f>
        <v>1.7648313613277313</v>
      </c>
      <c r="X14" s="217">
        <f>T14*(W22-W14)*O29*(W10/W6)</f>
        <v>-4385.7334026331255</v>
      </c>
      <c r="AV14" s="177"/>
    </row>
    <row r="15" spans="2:48" x14ac:dyDescent="0.3">
      <c r="B15" s="407"/>
      <c r="C15" s="2" t="s">
        <v>10</v>
      </c>
      <c r="D15" s="2" t="s">
        <v>41</v>
      </c>
      <c r="E15" s="156">
        <v>0.52270000000000005</v>
      </c>
      <c r="F15" s="179" t="s">
        <v>215</v>
      </c>
      <c r="G15" s="156">
        <f>Summary!G21</f>
        <v>0</v>
      </c>
      <c r="H15" s="183"/>
      <c r="K15">
        <f>(E15-G15)*(O10-O11)*O29*W10/W6</f>
        <v>1716.8357617629856</v>
      </c>
      <c r="L15" s="177">
        <f t="shared" si="2"/>
        <v>0.52270000000000005</v>
      </c>
      <c r="M15" s="2" t="s">
        <v>195</v>
      </c>
      <c r="N15" s="2" t="s">
        <v>206</v>
      </c>
      <c r="O15" s="2">
        <f>Summary!H25</f>
        <v>0</v>
      </c>
      <c r="Q15" s="194" t="s">
        <v>245</v>
      </c>
      <c r="R15" s="206">
        <v>3.6426866138758399E-3</v>
      </c>
      <c r="S15" s="208">
        <v>0</v>
      </c>
      <c r="T15" s="240">
        <f>S15-R15</f>
        <v>-3.6426866138758399E-3</v>
      </c>
      <c r="U15" s="26"/>
      <c r="V15" s="26"/>
      <c r="W15" s="198">
        <v>2.2553519455514262</v>
      </c>
      <c r="X15" s="218"/>
      <c r="AV15" s="177"/>
    </row>
    <row r="16" spans="2:48" ht="72" x14ac:dyDescent="0.3">
      <c r="B16" s="407"/>
      <c r="C16" s="2" t="s">
        <v>11</v>
      </c>
      <c r="D16" s="2" t="s">
        <v>41</v>
      </c>
      <c r="E16" s="171">
        <v>9.5100000000000004E-2</v>
      </c>
      <c r="F16" s="156">
        <v>0.28199999999999997</v>
      </c>
      <c r="G16" s="156">
        <f>Summary!G24</f>
        <v>0.31070367466573318</v>
      </c>
      <c r="H16" s="183">
        <f>X18</f>
        <v>-16858.194789360721</v>
      </c>
      <c r="L16" s="177">
        <f t="shared" si="2"/>
        <v>-0.21560367466573316</v>
      </c>
      <c r="M16" s="2" t="s">
        <v>226</v>
      </c>
      <c r="N16" s="2" t="s">
        <v>187</v>
      </c>
      <c r="O16" s="2">
        <f>Summary!H35</f>
        <v>757.29297552536798</v>
      </c>
      <c r="Q16" s="194" t="s">
        <v>246</v>
      </c>
      <c r="R16" s="206">
        <v>0.11832016077428099</v>
      </c>
      <c r="S16" s="206">
        <f>Dashboard!AJ153</f>
        <v>0</v>
      </c>
      <c r="T16" s="214">
        <f t="shared" ref="T16:T24" si="3">S16-R16</f>
        <v>-0.11832016077428099</v>
      </c>
      <c r="U16" s="215" t="s">
        <v>256</v>
      </c>
      <c r="V16" s="26"/>
      <c r="W16" s="79">
        <f>O12</f>
        <v>1.4623673600684959</v>
      </c>
      <c r="X16" s="218">
        <f>Z42</f>
        <v>2703.2277157553672</v>
      </c>
      <c r="AV16" s="177"/>
    </row>
    <row r="17" spans="2:27" x14ac:dyDescent="0.3">
      <c r="B17" s="407"/>
      <c r="C17" s="2" t="s">
        <v>23</v>
      </c>
      <c r="D17" s="2" t="s">
        <v>41</v>
      </c>
      <c r="E17" s="156">
        <v>3.32E-2</v>
      </c>
      <c r="F17" s="2"/>
      <c r="G17" s="226">
        <v>0</v>
      </c>
      <c r="H17" s="183"/>
      <c r="L17" s="177"/>
      <c r="M17" s="2" t="s">
        <v>196</v>
      </c>
      <c r="N17" s="2" t="s">
        <v>187</v>
      </c>
      <c r="O17" s="2">
        <f>Summary!H34</f>
        <v>200</v>
      </c>
      <c r="Q17" s="194" t="s">
        <v>247</v>
      </c>
      <c r="R17" s="206">
        <v>8.4114955048107693E-3</v>
      </c>
      <c r="S17" s="209">
        <v>0</v>
      </c>
      <c r="T17" s="239">
        <f t="shared" si="3"/>
        <v>-8.4114955048107693E-3</v>
      </c>
      <c r="U17" s="26"/>
      <c r="V17" s="26"/>
      <c r="W17" s="198">
        <v>1.503877782023378</v>
      </c>
      <c r="X17" s="218"/>
    </row>
    <row r="18" spans="2:27" ht="28.8" x14ac:dyDescent="0.3">
      <c r="B18" s="407"/>
      <c r="C18" s="2" t="s">
        <v>24</v>
      </c>
      <c r="D18" s="2" t="s">
        <v>41</v>
      </c>
      <c r="E18" s="156">
        <v>3.1199999999999999E-2</v>
      </c>
      <c r="F18" s="2"/>
      <c r="G18" s="226">
        <v>0</v>
      </c>
      <c r="H18" s="183"/>
      <c r="L18" s="177"/>
      <c r="M18" s="2" t="s">
        <v>242</v>
      </c>
      <c r="N18" s="2" t="s">
        <v>187</v>
      </c>
      <c r="O18" s="2">
        <f>Summary!H37</f>
        <v>463.72502263174914</v>
      </c>
      <c r="Q18" s="194" t="s">
        <v>248</v>
      </c>
      <c r="R18" s="206">
        <v>2.06331711270334E-2</v>
      </c>
      <c r="S18" s="206">
        <f>Dashboard!AJ155</f>
        <v>0</v>
      </c>
      <c r="T18" s="214">
        <f t="shared" si="3"/>
        <v>-2.06331711270334E-2</v>
      </c>
      <c r="U18" s="215" t="s">
        <v>258</v>
      </c>
      <c r="V18" s="26"/>
      <c r="W18" s="79">
        <v>2.04</v>
      </c>
      <c r="X18" s="218">
        <f>Z49</f>
        <v>-16858.194789360721</v>
      </c>
      <c r="Z18" s="177"/>
      <c r="AA18" s="177"/>
    </row>
    <row r="19" spans="2:27" ht="14.55" customHeight="1" thickBot="1" x14ac:dyDescent="0.35">
      <c r="B19" s="408"/>
      <c r="C19" s="2" t="s">
        <v>25</v>
      </c>
      <c r="D19" s="2" t="s">
        <v>41</v>
      </c>
      <c r="E19" s="2"/>
      <c r="F19" s="2"/>
      <c r="G19" s="226">
        <v>0</v>
      </c>
      <c r="H19" s="183"/>
      <c r="M19" s="2" t="s">
        <v>243</v>
      </c>
      <c r="N19" s="2" t="s">
        <v>187</v>
      </c>
      <c r="O19" s="2">
        <f>Summary!H36</f>
        <v>200</v>
      </c>
      <c r="Q19" s="194" t="s">
        <v>249</v>
      </c>
      <c r="R19" s="206">
        <v>2.27828789413447E-2</v>
      </c>
      <c r="S19" s="209">
        <v>0</v>
      </c>
      <c r="T19" s="230">
        <f t="shared" si="3"/>
        <v>-2.27828789413447E-2</v>
      </c>
      <c r="U19" s="26"/>
      <c r="V19" s="26"/>
      <c r="W19" s="198">
        <v>1.9316454337975097</v>
      </c>
      <c r="X19" s="218"/>
      <c r="Z19" s="177"/>
      <c r="AA19" s="177"/>
    </row>
    <row r="20" spans="2:27" ht="14.55" customHeight="1" x14ac:dyDescent="0.3">
      <c r="B20" s="406" t="s">
        <v>33</v>
      </c>
      <c r="C20" s="2" t="s">
        <v>15</v>
      </c>
      <c r="D20" s="2" t="s">
        <v>42</v>
      </c>
      <c r="E20" s="2"/>
      <c r="F20" s="2"/>
      <c r="G20" s="2"/>
      <c r="H20" s="183"/>
      <c r="M20" s="2" t="s">
        <v>197</v>
      </c>
      <c r="N20" s="2" t="s">
        <v>198</v>
      </c>
      <c r="O20" s="2">
        <f>Summary!H12</f>
        <v>1.127342856112574</v>
      </c>
      <c r="Q20" s="194" t="s">
        <v>250</v>
      </c>
      <c r="R20" s="206">
        <v>7.4450216330188002E-2</v>
      </c>
      <c r="S20" s="209">
        <v>0</v>
      </c>
      <c r="T20" s="230">
        <f t="shared" si="3"/>
        <v>-7.4450216330188002E-2</v>
      </c>
      <c r="U20" s="26"/>
      <c r="V20" s="26"/>
      <c r="W20" s="198">
        <v>2.5294483629478188</v>
      </c>
      <c r="X20" s="218"/>
      <c r="Z20" s="177"/>
      <c r="AA20" s="177"/>
    </row>
    <row r="21" spans="2:27" x14ac:dyDescent="0.3">
      <c r="B21" s="407"/>
      <c r="C21" s="225" t="s">
        <v>16</v>
      </c>
      <c r="D21" s="2" t="s">
        <v>41</v>
      </c>
      <c r="E21" s="156">
        <v>1.3299999999999999E-2</v>
      </c>
      <c r="F21" s="2">
        <v>103</v>
      </c>
      <c r="G21" s="227">
        <f>Summary!G31</f>
        <v>2.6337404218112898E-3</v>
      </c>
      <c r="H21" s="183"/>
      <c r="M21" s="2" t="s">
        <v>199</v>
      </c>
      <c r="N21" s="2" t="s">
        <v>207</v>
      </c>
      <c r="O21" s="2">
        <f>Summary!H9</f>
        <v>9.3856569075211986</v>
      </c>
      <c r="Q21" s="194" t="s">
        <v>251</v>
      </c>
      <c r="R21" s="206">
        <v>3.3225245103566198E-2</v>
      </c>
      <c r="S21" s="209">
        <v>0</v>
      </c>
      <c r="T21" s="239">
        <f t="shared" si="3"/>
        <v>-3.3225245103566198E-2</v>
      </c>
      <c r="U21" s="26"/>
      <c r="V21" s="26"/>
      <c r="W21" s="198">
        <v>2.7037032662981053</v>
      </c>
      <c r="X21" s="218"/>
    </row>
    <row r="22" spans="2:27" ht="15" thickBot="1" x14ac:dyDescent="0.35">
      <c r="B22" s="407"/>
      <c r="C22" s="225" t="s">
        <v>17</v>
      </c>
      <c r="D22" s="2" t="s">
        <v>41</v>
      </c>
      <c r="E22" s="156">
        <v>1.9300000000000001E-2</v>
      </c>
      <c r="F22" s="2">
        <v>456.2</v>
      </c>
      <c r="G22" s="227">
        <f>Summary!G30</f>
        <v>3.3536285278227322E-2</v>
      </c>
      <c r="H22" s="183">
        <f>X23</f>
        <v>6975.5054674088688</v>
      </c>
      <c r="M22" s="2" t="s">
        <v>200</v>
      </c>
      <c r="N22" s="2" t="s">
        <v>207</v>
      </c>
      <c r="O22" s="2">
        <f>Summary!H10</f>
        <v>3.527925866922148</v>
      </c>
      <c r="Q22" s="194" t="s">
        <v>252</v>
      </c>
      <c r="R22" s="206">
        <v>0.52272016809527799</v>
      </c>
      <c r="S22" s="206">
        <f>Dashboard!AJ154</f>
        <v>0</v>
      </c>
      <c r="T22" s="239">
        <f t="shared" si="3"/>
        <v>-0.52272016809527799</v>
      </c>
      <c r="U22" s="213"/>
      <c r="V22" s="26"/>
      <c r="W22" s="79">
        <f>O11</f>
        <v>2.2177937329965753</v>
      </c>
      <c r="X22" s="218"/>
    </row>
    <row r="23" spans="2:27" ht="57.6" x14ac:dyDescent="0.3">
      <c r="B23" s="421" t="s">
        <v>34</v>
      </c>
      <c r="C23" s="2" t="s">
        <v>19</v>
      </c>
      <c r="D23" s="2" t="s">
        <v>43</v>
      </c>
      <c r="E23" s="183">
        <v>726.36</v>
      </c>
      <c r="F23" s="160">
        <v>720</v>
      </c>
      <c r="G23" s="159">
        <f>Summary!D27</f>
        <v>725.00252865981031</v>
      </c>
      <c r="H23" s="183">
        <f>(E23-G23)*O23*(W8/$W$6)</f>
        <v>81.419735857506609</v>
      </c>
      <c r="M23" s="2" t="s">
        <v>201</v>
      </c>
      <c r="N23" s="2" t="s">
        <v>206</v>
      </c>
      <c r="O23" s="2">
        <f>Summary!D26</f>
        <v>1.5727457911855423</v>
      </c>
      <c r="Q23" s="194" t="s">
        <v>17</v>
      </c>
      <c r="R23" s="206">
        <v>1.9325019417479199E-2</v>
      </c>
      <c r="S23" s="206">
        <f>Dashboard!AJ157</f>
        <v>0</v>
      </c>
      <c r="T23" s="235">
        <f t="shared" si="3"/>
        <v>-1.9325019417479199E-2</v>
      </c>
      <c r="U23" s="236" t="s">
        <v>265</v>
      </c>
      <c r="V23" s="26"/>
      <c r="W23" s="79">
        <f>O25</f>
        <v>0.81180402076009184</v>
      </c>
      <c r="X23" s="218">
        <f>V50</f>
        <v>6975.5054674088688</v>
      </c>
    </row>
    <row r="24" spans="2:27" ht="14.55" customHeight="1" thickBot="1" x14ac:dyDescent="0.35">
      <c r="B24" s="422"/>
      <c r="C24" s="2" t="s">
        <v>20</v>
      </c>
      <c r="D24" s="2" t="s">
        <v>43</v>
      </c>
      <c r="E24" s="183">
        <v>727.59</v>
      </c>
      <c r="F24" s="160">
        <v>737</v>
      </c>
      <c r="G24" s="159">
        <f>Summary!E27</f>
        <v>734.43686000795162</v>
      </c>
      <c r="H24" s="183">
        <f>(E24-G24)*O24*(W9/$W$6)</f>
        <v>-486.18229832650786</v>
      </c>
      <c r="M24" s="2" t="s">
        <v>202</v>
      </c>
      <c r="N24" s="2" t="s">
        <v>206</v>
      </c>
      <c r="O24" s="2">
        <f>Summary!E26</f>
        <v>1.6459189511654133</v>
      </c>
      <c r="Q24" s="195" t="s">
        <v>253</v>
      </c>
      <c r="R24" s="207">
        <v>1.3272434158282101E-2</v>
      </c>
      <c r="S24" s="207">
        <f>Dashboard!AJ156</f>
        <v>0</v>
      </c>
      <c r="T24" s="231">
        <f t="shared" si="3"/>
        <v>-1.3272434158282101E-2</v>
      </c>
      <c r="U24" s="199"/>
      <c r="V24" s="199"/>
      <c r="W24" s="219">
        <f>O26</f>
        <v>0.01</v>
      </c>
      <c r="X24" s="167"/>
    </row>
    <row r="25" spans="2:27" ht="15" thickBot="1" x14ac:dyDescent="0.35">
      <c r="B25" s="422"/>
      <c r="C25" s="2" t="s">
        <v>18</v>
      </c>
      <c r="D25" s="2" t="s">
        <v>43</v>
      </c>
      <c r="E25" s="159">
        <v>22.483841904539105</v>
      </c>
      <c r="F25" s="159">
        <v>24.8</v>
      </c>
      <c r="G25" s="159">
        <f>Summary!G12</f>
        <v>25.727262495427645</v>
      </c>
      <c r="H25" s="183">
        <f>(G25-E25)*(O21-O20)*(W10/W6)</f>
        <v>2177.0561860683297</v>
      </c>
      <c r="M25" s="2" t="s">
        <v>17</v>
      </c>
      <c r="N25" s="2" t="s">
        <v>206</v>
      </c>
      <c r="O25" s="2">
        <f>Summary!H30</f>
        <v>0.81180402076009184</v>
      </c>
      <c r="W25" s="220" t="s">
        <v>230</v>
      </c>
      <c r="X25" s="212">
        <f>SUM(X14:X24)</f>
        <v>-11565.195008829611</v>
      </c>
    </row>
    <row r="26" spans="2:27" ht="15" thickBot="1" x14ac:dyDescent="0.35">
      <c r="B26" s="422"/>
      <c r="C26" s="2" t="s">
        <v>21</v>
      </c>
      <c r="D26" s="2" t="s">
        <v>44</v>
      </c>
      <c r="E26" s="159">
        <v>71.069999999999993</v>
      </c>
      <c r="F26" s="172">
        <v>70.8</v>
      </c>
      <c r="G26" s="159">
        <f>Summary!D28</f>
        <v>63.77</v>
      </c>
      <c r="H26" s="183">
        <f>(E26-G26)*O30*(W4/W6)</f>
        <v>43.361729823955002</v>
      </c>
      <c r="M26" s="2" t="s">
        <v>16</v>
      </c>
      <c r="N26" s="2" t="s">
        <v>206</v>
      </c>
      <c r="O26" s="185">
        <f>Summary!H31</f>
        <v>0.01</v>
      </c>
    </row>
    <row r="27" spans="2:27" ht="15" thickBot="1" x14ac:dyDescent="0.35">
      <c r="B27" s="423"/>
      <c r="C27" s="2" t="s">
        <v>22</v>
      </c>
      <c r="D27" s="2" t="s">
        <v>44</v>
      </c>
      <c r="E27" s="159">
        <v>76.02</v>
      </c>
      <c r="F27" s="159">
        <v>76.8</v>
      </c>
      <c r="G27" s="159">
        <f>Summary!E28</f>
        <v>71.84</v>
      </c>
      <c r="H27" s="183">
        <f>(E27-G27)*O31*(W5/W6)</f>
        <v>5.2955180632305838</v>
      </c>
      <c r="M27" s="2" t="s">
        <v>12</v>
      </c>
      <c r="N27" s="2" t="s">
        <v>187</v>
      </c>
      <c r="O27" s="2"/>
      <c r="Q27" s="192" t="s">
        <v>236</v>
      </c>
      <c r="R27" s="187" t="s">
        <v>234</v>
      </c>
      <c r="S27" s="187" t="s">
        <v>255</v>
      </c>
      <c r="T27" s="188" t="s">
        <v>235</v>
      </c>
      <c r="U27" s="186" t="s">
        <v>255</v>
      </c>
    </row>
    <row r="28" spans="2:27" x14ac:dyDescent="0.3">
      <c r="B28" s="406" t="s">
        <v>35</v>
      </c>
      <c r="C28" s="2" t="s">
        <v>27</v>
      </c>
      <c r="D28" s="2" t="s">
        <v>45</v>
      </c>
      <c r="E28" s="156">
        <v>4.6150737714715423E-2</v>
      </c>
      <c r="F28" s="171">
        <v>0.13900000000000001</v>
      </c>
      <c r="G28" s="156">
        <f>Summary!G35</f>
        <v>6.7023372564274972E-2</v>
      </c>
      <c r="H28" s="183">
        <f>(E28-G28)*(O16-O17)*(W10/W6)</f>
        <v>-945.44401760706387</v>
      </c>
      <c r="M28" s="2" t="s">
        <v>13</v>
      </c>
      <c r="N28" s="2" t="s">
        <v>187</v>
      </c>
      <c r="O28" s="2">
        <f>Summary!H15</f>
        <v>0</v>
      </c>
      <c r="Q28" s="193" t="s">
        <v>244</v>
      </c>
      <c r="R28" s="210">
        <f>R14</f>
        <v>0.16321652393386099</v>
      </c>
      <c r="S28" s="196">
        <v>1.6253280782358464</v>
      </c>
      <c r="T28" s="181">
        <f>S14</f>
        <v>0</v>
      </c>
      <c r="U28" s="143">
        <f>O13</f>
        <v>1.7648313613277313</v>
      </c>
    </row>
    <row r="29" spans="2:27" x14ac:dyDescent="0.3">
      <c r="B29" s="407"/>
      <c r="C29" s="2" t="s">
        <v>242</v>
      </c>
      <c r="D29" s="2"/>
      <c r="E29" s="156">
        <v>5.0099999999999999E-2</v>
      </c>
      <c r="F29" s="171">
        <v>0</v>
      </c>
      <c r="G29" s="156">
        <f>Summary!G37</f>
        <v>2.4542232089110522E-2</v>
      </c>
      <c r="H29" s="183">
        <f>-(G29)*(O18-O19)*(W10/W6)</f>
        <v>-526.06616564924354</v>
      </c>
      <c r="K29">
        <f>(G29-E29)*(O18-O19)*W10/W6</f>
        <v>-547.83431753954187</v>
      </c>
      <c r="M29" s="2" t="s">
        <v>203</v>
      </c>
      <c r="N29" s="2" t="s">
        <v>208</v>
      </c>
      <c r="O29" s="2">
        <f>Summary!F27</f>
        <v>729.86242303654967</v>
      </c>
      <c r="Q29" s="194" t="s">
        <v>245</v>
      </c>
      <c r="R29" s="210">
        <f t="shared" ref="R29:R38" si="4">R15</f>
        <v>3.6426866138758399E-3</v>
      </c>
      <c r="S29" s="103">
        <v>2.2553519455514262</v>
      </c>
      <c r="T29" s="209">
        <v>0</v>
      </c>
      <c r="U29" s="123"/>
    </row>
    <row r="30" spans="2:27" ht="15" thickBot="1" x14ac:dyDescent="0.35">
      <c r="B30" s="408"/>
      <c r="C30" s="2" t="s">
        <v>29</v>
      </c>
      <c r="D30" s="2" t="s">
        <v>46</v>
      </c>
      <c r="E30" s="2"/>
      <c r="F30" s="2"/>
      <c r="G30" s="2"/>
      <c r="H30" s="183"/>
      <c r="M30" s="2" t="s">
        <v>240</v>
      </c>
      <c r="N30" s="2" t="s">
        <v>207</v>
      </c>
      <c r="O30" s="2">
        <f>Summary!D11</f>
        <v>7.6</v>
      </c>
      <c r="Q30" s="194" t="s">
        <v>246</v>
      </c>
      <c r="R30" s="210">
        <f t="shared" si="4"/>
        <v>0.11832016077428099</v>
      </c>
      <c r="S30" s="103">
        <v>1.6065492638117782</v>
      </c>
      <c r="T30" s="180">
        <f t="shared" ref="T30:T38" si="5">S16</f>
        <v>0</v>
      </c>
      <c r="U30" s="123">
        <f>O12</f>
        <v>1.4623673600684959</v>
      </c>
    </row>
    <row r="31" spans="2:27" x14ac:dyDescent="0.3">
      <c r="B31" s="406" t="s">
        <v>219</v>
      </c>
      <c r="C31" s="2" t="s">
        <v>28</v>
      </c>
      <c r="D31" s="2"/>
      <c r="E31" s="171">
        <v>0.124</v>
      </c>
      <c r="F31" s="174">
        <v>0.19</v>
      </c>
      <c r="G31" s="156">
        <f>Summary!G33</f>
        <v>3.747118881658263E-2</v>
      </c>
      <c r="H31" s="232">
        <f>(E31-G31)*O33/W6</f>
        <v>5.2770485859634229E-4</v>
      </c>
      <c r="M31" s="2" t="s">
        <v>241</v>
      </c>
      <c r="N31" s="2" t="s">
        <v>207</v>
      </c>
      <c r="O31" s="2">
        <f>Summary!E11</f>
        <v>5.8</v>
      </c>
      <c r="Q31" s="194" t="s">
        <v>247</v>
      </c>
      <c r="R31" s="210">
        <f t="shared" si="4"/>
        <v>8.4114955048107693E-3</v>
      </c>
      <c r="S31" s="103">
        <v>1.503877782023378</v>
      </c>
      <c r="T31" s="209">
        <v>0</v>
      </c>
      <c r="U31" s="123"/>
      <c r="Y31" s="177"/>
      <c r="Z31" s="177"/>
      <c r="AA31" s="177"/>
    </row>
    <row r="32" spans="2:27" x14ac:dyDescent="0.3">
      <c r="B32" s="407"/>
      <c r="C32" s="2" t="s">
        <v>31</v>
      </c>
      <c r="D32" s="2" t="s">
        <v>47</v>
      </c>
      <c r="E32" s="2"/>
      <c r="F32" s="2"/>
      <c r="G32" s="2"/>
      <c r="H32" s="183">
        <v>2.2991459114746862</v>
      </c>
      <c r="M32" s="2" t="s">
        <v>204</v>
      </c>
      <c r="N32" s="2" t="s">
        <v>207</v>
      </c>
      <c r="O32" s="2">
        <f>Summary!H11</f>
        <v>6.5660875503360279</v>
      </c>
      <c r="Q32" s="194" t="s">
        <v>248</v>
      </c>
      <c r="R32" s="210">
        <f t="shared" si="4"/>
        <v>2.06331711270334E-2</v>
      </c>
      <c r="S32" s="103">
        <v>2.5294483629478188</v>
      </c>
      <c r="T32" s="180">
        <f t="shared" si="5"/>
        <v>0</v>
      </c>
      <c r="U32" s="123">
        <f>O14</f>
        <v>1.9963440984074781</v>
      </c>
      <c r="Y32" s="177"/>
      <c r="Z32" s="177"/>
      <c r="AA32" s="177"/>
    </row>
    <row r="33" spans="2:27" ht="15" thickBot="1" x14ac:dyDescent="0.35">
      <c r="B33" s="408"/>
      <c r="C33" s="2" t="s">
        <v>32</v>
      </c>
      <c r="D33" s="2" t="s">
        <v>48</v>
      </c>
      <c r="E33" s="2"/>
      <c r="F33" s="2"/>
      <c r="G33" s="2"/>
      <c r="H33" s="225">
        <v>0</v>
      </c>
      <c r="M33" s="3" t="s">
        <v>205</v>
      </c>
      <c r="N33" s="3" t="s">
        <v>187</v>
      </c>
      <c r="O33" s="3">
        <v>32</v>
      </c>
      <c r="Q33" s="194" t="s">
        <v>249</v>
      </c>
      <c r="R33" s="210">
        <f t="shared" si="4"/>
        <v>2.27828789413447E-2</v>
      </c>
      <c r="S33" s="103">
        <v>1.9316454337975097</v>
      </c>
      <c r="T33" s="209">
        <v>0</v>
      </c>
      <c r="U33" s="123"/>
    </row>
    <row r="34" spans="2:27" ht="15" thickBot="1" x14ac:dyDescent="0.35">
      <c r="C34" s="3" t="s">
        <v>26</v>
      </c>
      <c r="D34" s="3"/>
      <c r="E34" s="3"/>
      <c r="F34" s="3"/>
      <c r="G34" s="3"/>
      <c r="H34" s="228">
        <v>0</v>
      </c>
      <c r="Q34" s="194" t="s">
        <v>250</v>
      </c>
      <c r="R34" s="210">
        <f t="shared" si="4"/>
        <v>7.4450216330188002E-2</v>
      </c>
      <c r="S34" s="103">
        <f>S32</f>
        <v>2.5294483629478188</v>
      </c>
      <c r="T34" s="209">
        <v>0</v>
      </c>
      <c r="U34" s="123"/>
      <c r="Y34" s="177"/>
      <c r="Z34" s="177"/>
      <c r="AA34" s="177"/>
    </row>
    <row r="35" spans="2:27" ht="15" thickBot="1" x14ac:dyDescent="0.35">
      <c r="Q35" s="194" t="s">
        <v>251</v>
      </c>
      <c r="R35" s="210">
        <f t="shared" si="4"/>
        <v>3.3225245103566198E-2</v>
      </c>
      <c r="S35" s="103">
        <v>2.7037032662981053</v>
      </c>
      <c r="T35" s="209">
        <v>0</v>
      </c>
      <c r="U35" s="123"/>
      <c r="X35" s="397" t="s">
        <v>260</v>
      </c>
      <c r="Y35" s="398"/>
      <c r="Z35" s="399"/>
    </row>
    <row r="36" spans="2:27" ht="21.6" thickBot="1" x14ac:dyDescent="0.45">
      <c r="G36" s="175" t="s">
        <v>230</v>
      </c>
      <c r="H36" s="176">
        <f>SUM(H4:H34)</f>
        <v>-11213.41460552758</v>
      </c>
      <c r="K36" s="182">
        <f>H36-H32</f>
        <v>-11215.713751439054</v>
      </c>
      <c r="Q36" s="194" t="s">
        <v>252</v>
      </c>
      <c r="R36" s="210">
        <f t="shared" si="4"/>
        <v>0.52272016809527799</v>
      </c>
      <c r="S36" s="211">
        <v>2.2679095541344996</v>
      </c>
      <c r="T36" s="180">
        <f t="shared" si="5"/>
        <v>0</v>
      </c>
      <c r="U36" s="123">
        <f>O11</f>
        <v>2.2177937329965753</v>
      </c>
      <c r="X36" s="142" t="s">
        <v>261</v>
      </c>
      <c r="Y36" s="99" t="s">
        <v>263</v>
      </c>
      <c r="Z36" s="143" t="s">
        <v>262</v>
      </c>
    </row>
    <row r="37" spans="2:27" x14ac:dyDescent="0.3">
      <c r="Q37" s="194" t="s">
        <v>17</v>
      </c>
      <c r="R37" s="210">
        <f t="shared" si="4"/>
        <v>1.9325019417479199E-2</v>
      </c>
      <c r="S37" s="103">
        <v>0.97724206818086168</v>
      </c>
      <c r="T37" s="180">
        <f t="shared" si="5"/>
        <v>0</v>
      </c>
      <c r="U37" s="123">
        <f>O25</f>
        <v>0.81180402076009184</v>
      </c>
      <c r="X37" s="122" t="str">
        <f>Q22</f>
        <v>Imported Pet Coke (saudi)</v>
      </c>
      <c r="Y37" s="180">
        <v>0.27210000000000001</v>
      </c>
      <c r="Z37" s="123">
        <f>Y37*(W22-$W$16)*$O$29*($W$10/$W$6)</f>
        <v>12193.732474594106</v>
      </c>
    </row>
    <row r="38" spans="2:27" ht="15" thickBot="1" x14ac:dyDescent="0.35">
      <c r="H38" s="182">
        <f>H36-H32</f>
        <v>-11215.713751439054</v>
      </c>
      <c r="Q38" s="195" t="s">
        <v>253</v>
      </c>
      <c r="R38" s="222">
        <f t="shared" si="4"/>
        <v>1.3272434158282101E-2</v>
      </c>
      <c r="S38" s="197">
        <v>-0.19107984391921232</v>
      </c>
      <c r="T38" s="216">
        <f t="shared" si="5"/>
        <v>0</v>
      </c>
      <c r="U38" s="123">
        <f>O26</f>
        <v>0.01</v>
      </c>
      <c r="X38" s="122" t="str">
        <f>Q15</f>
        <v>E-Auction Coal</v>
      </c>
      <c r="Y38" s="206">
        <f>-T15</f>
        <v>3.6426866138758399E-3</v>
      </c>
      <c r="Z38" s="123">
        <f>Y38*(W15-$W$16)*$O$29*($W$10/$W$6)</f>
        <v>171.35726953470379</v>
      </c>
    </row>
    <row r="39" spans="2:27" ht="15" thickBot="1" x14ac:dyDescent="0.35">
      <c r="G39">
        <v>405.17</v>
      </c>
      <c r="H39">
        <v>374.83</v>
      </c>
      <c r="S39" s="221">
        <f>((R28*S28)+(R29*S29)+(R30*S30)+(R31*S31)+(R32*S32)+(R33*S33)+(R34*S34)+(R35*S35)+(R36*S36)+(R37*S37)+(R38*S38))</f>
        <v>2.0524123251036146</v>
      </c>
      <c r="U39" s="223">
        <f>((T28*U28)+(T30*U30)+(T32*U32)+(T36*U36)+(T37*U37)+(T38*U38))</f>
        <v>0</v>
      </c>
      <c r="X39" s="122" t="str">
        <f>Q17</f>
        <v xml:space="preserve">Indian Pet coke </v>
      </c>
      <c r="Y39" s="206">
        <f>-T17</f>
        <v>8.4114955048107693E-3</v>
      </c>
      <c r="Z39" s="123">
        <f>Y39*(W17-$W$16)*$O$29*($W$10/$W$6)</f>
        <v>20.713159212710362</v>
      </c>
    </row>
    <row r="40" spans="2:27" x14ac:dyDescent="0.3">
      <c r="X40" s="122" t="str">
        <f>Q21</f>
        <v>Fluid Pet Coke</v>
      </c>
      <c r="Y40" s="206">
        <f>-T21</f>
        <v>3.3225245103566198E-2</v>
      </c>
      <c r="Z40" s="123">
        <f>Y40*(W21-$W$16)*$O$29*($W$10/$W$6)</f>
        <v>2446.6592539187523</v>
      </c>
    </row>
    <row r="41" spans="2:27" ht="15" thickBot="1" x14ac:dyDescent="0.35">
      <c r="X41" s="140" t="str">
        <f>Q19</f>
        <v>Indian Petcoke Hi-Sulphur</v>
      </c>
      <c r="Y41" s="207">
        <f>-SUM(Y37:Y40)+T16</f>
        <v>-0.43569958799653385</v>
      </c>
      <c r="Z41" s="124">
        <f>Y41*(W19-$W$16)*$O$29*($W$10/$W$6)</f>
        <v>-12129.234441504903</v>
      </c>
    </row>
    <row r="42" spans="2:27" ht="15" thickBot="1" x14ac:dyDescent="0.35">
      <c r="Z42" s="233">
        <f>SUM(Z37:Z41)</f>
        <v>2703.2277157553672</v>
      </c>
    </row>
    <row r="44" spans="2:27" ht="15" thickBot="1" x14ac:dyDescent="0.35"/>
    <row r="45" spans="2:27" ht="15" thickBot="1" x14ac:dyDescent="0.35">
      <c r="T45" s="397" t="s">
        <v>17</v>
      </c>
      <c r="U45" s="398"/>
      <c r="V45" s="399"/>
      <c r="X45" s="400" t="s">
        <v>264</v>
      </c>
      <c r="Y45" s="401"/>
      <c r="Z45" s="402"/>
    </row>
    <row r="46" spans="2:27" x14ac:dyDescent="0.3">
      <c r="T46" s="142" t="s">
        <v>261</v>
      </c>
      <c r="U46" s="99" t="s">
        <v>263</v>
      </c>
      <c r="V46" s="143" t="s">
        <v>262</v>
      </c>
      <c r="X46" s="142" t="s">
        <v>261</v>
      </c>
      <c r="Y46" s="99" t="s">
        <v>263</v>
      </c>
      <c r="Z46" s="143" t="s">
        <v>262</v>
      </c>
    </row>
    <row r="47" spans="2:27" x14ac:dyDescent="0.3">
      <c r="T47" s="122" t="str">
        <f>Q18</f>
        <v>Imported US Pet coke</v>
      </c>
      <c r="U47" s="180">
        <v>2.9899999999999999E-2</v>
      </c>
      <c r="V47" s="224">
        <f>U47*(W18-W23)*O29*(W10/W6)</f>
        <v>2178.486323770846</v>
      </c>
      <c r="X47" s="122" t="str">
        <f>Q19</f>
        <v>Indian Petcoke Hi-Sulphur</v>
      </c>
      <c r="Y47" s="180">
        <f>-T19-Y41</f>
        <v>0.45848246693787853</v>
      </c>
      <c r="Z47" s="123">
        <f>Y47*(W19-$W$18)*$O$29*($W$10/$W$6)</f>
        <v>-2947.0393058307218</v>
      </c>
    </row>
    <row r="48" spans="2:27" ht="15" thickBot="1" x14ac:dyDescent="0.35">
      <c r="T48" s="122" t="str">
        <f>Q20</f>
        <v>Imp. Pet Coke (Low Sulphur)</v>
      </c>
      <c r="U48" s="177">
        <v>2.41E-2</v>
      </c>
      <c r="V48" s="224">
        <f>U48*(W20-W23)*O29*(W10/W6)</f>
        <v>2455.6488489326116</v>
      </c>
      <c r="X48" s="140" t="str">
        <f>Q20</f>
        <v>Imp. Pet Coke (Low Sulphur)</v>
      </c>
      <c r="Y48" s="216">
        <f>T18-Y47</f>
        <v>-0.47911563806491192</v>
      </c>
      <c r="Z48" s="124">
        <f>Y48*(W20-$W$18)*$O$29*($W$10/$W$6)</f>
        <v>-13911.155483529998</v>
      </c>
    </row>
    <row r="49" spans="20:26" ht="15" thickBot="1" x14ac:dyDescent="0.35">
      <c r="T49" s="140" t="str">
        <f>Q24</f>
        <v>AFR (LIQUID) - HCV</v>
      </c>
      <c r="U49" s="216">
        <f>T23-U47</f>
        <v>-4.9225019417479199E-2</v>
      </c>
      <c r="V49" s="124">
        <f>U49*(W24-W23)*O29*(W10/W6)</f>
        <v>2341.3702947054107</v>
      </c>
      <c r="Z49" s="234">
        <f>SUM(Z47:Z48)</f>
        <v>-16858.194789360721</v>
      </c>
    </row>
    <row r="50" spans="20:26" ht="15" thickBot="1" x14ac:dyDescent="0.35">
      <c r="V50" s="234">
        <f>SUM(V47:V49)</f>
        <v>6975.5054674088688</v>
      </c>
    </row>
  </sheetData>
  <mergeCells count="14">
    <mergeCell ref="T45:V45"/>
    <mergeCell ref="X45:Z45"/>
    <mergeCell ref="B4:B12"/>
    <mergeCell ref="S8:V8"/>
    <mergeCell ref="S9:V9"/>
    <mergeCell ref="S10:V10"/>
    <mergeCell ref="S12:V12"/>
    <mergeCell ref="B13:B19"/>
    <mergeCell ref="F13:F14"/>
    <mergeCell ref="B20:B22"/>
    <mergeCell ref="B23:B27"/>
    <mergeCell ref="B28:B30"/>
    <mergeCell ref="B31:B33"/>
    <mergeCell ref="X35:Z3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Summary</vt:lpstr>
      <vt:lpstr>Value Calc YTD </vt:lpstr>
      <vt:lpstr>Value Calc YTD  WHRS</vt:lpstr>
      <vt:lpstr>Value Calc (Rev fuel)</vt:lpstr>
      <vt:lpstr>Value Calc (old no use)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Prakash Agrawal</dc:creator>
  <cp:lastModifiedBy>Dikshant Nautiyal</cp:lastModifiedBy>
  <cp:lastPrinted>2024-05-01T09:50:36Z</cp:lastPrinted>
  <dcterms:created xsi:type="dcterms:W3CDTF">2024-05-01T07:32:24Z</dcterms:created>
  <dcterms:modified xsi:type="dcterms:W3CDTF">2024-10-05T09:32:43Z</dcterms:modified>
</cp:coreProperties>
</file>