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yanjain/Desktop/"/>
    </mc:Choice>
  </mc:AlternateContent>
  <xr:revisionPtr revIDLastSave="0" documentId="8_{C69777C4-BF27-0D43-AD3D-ED1D57506553}" xr6:coauthVersionLast="47" xr6:coauthVersionMax="47" xr10:uidLastSave="{00000000-0000-0000-0000-000000000000}"/>
  <bookViews>
    <workbookView xWindow="0" yWindow="740" windowWidth="29400" windowHeight="16780" activeTab="7" xr2:uid="{5ECF019B-D745-4453-A5C5-3DCD8AB4A758}"/>
  </bookViews>
  <sheets>
    <sheet name="NIKE&gt;" sheetId="17" r:id="rId1"/>
    <sheet name="Beta - Regression" sheetId="7" state="hidden" r:id="rId2"/>
    <sheet name="Rm" sheetId="9" state="hidden" r:id="rId3"/>
    <sheet name="WACC" sheetId="1" r:id="rId4"/>
    <sheet name="Intrisic Growth" sheetId="14" r:id="rId5"/>
    <sheet name="DCF" sheetId="15" r:id="rId6"/>
    <sheet name="ADIDAS&gt;" sheetId="19" r:id="rId7"/>
    <sheet name="WACC_ADS" sheetId="18" r:id="rId8"/>
    <sheet name="Intrisic Growth_ADS" sheetId="20" r:id="rId9"/>
    <sheet name="DCF_ADS" sheetId="21" r:id="rId10"/>
    <sheet name="Relative Pricing" sheetId="16" r:id="rId11"/>
    <sheet name="Data Room&gt;" sheetId="12" r:id="rId12"/>
    <sheet name="Data Sheet_NKE" sheetId="11" r:id="rId13"/>
    <sheet name="Data Sheet_ADS" sheetId="13" r:id="rId14"/>
  </sheets>
  <definedNames>
    <definedName name="_xlnm._FilterDatabase" localSheetId="1" hidden="1">'Beta - Regression'!$B$6:$D$111</definedName>
    <definedName name="_xlnm._FilterDatabase" localSheetId="13" hidden="1">'Data Sheet_ADS'!$R$10:$X$10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Sheet_NKE'!$E$1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1" l="1"/>
  <c r="E41" i="21"/>
  <c r="E40" i="21"/>
  <c r="E28" i="15"/>
  <c r="E40" i="15"/>
  <c r="E39" i="15"/>
  <c r="E29" i="21"/>
  <c r="F7" i="21"/>
  <c r="F11" i="21" s="1"/>
  <c r="H35" i="20"/>
  <c r="I35" i="20"/>
  <c r="J35" i="20"/>
  <c r="K35" i="20"/>
  <c r="G35" i="20"/>
  <c r="H22" i="20"/>
  <c r="I22" i="20"/>
  <c r="J22" i="20"/>
  <c r="K22" i="20"/>
  <c r="G22" i="20"/>
  <c r="H14" i="20"/>
  <c r="I14" i="20"/>
  <c r="J14" i="20"/>
  <c r="K14" i="20"/>
  <c r="G14" i="20"/>
  <c r="E28" i="18"/>
  <c r="C38" i="18"/>
  <c r="C37" i="18"/>
  <c r="C39" i="18" s="1"/>
  <c r="D39" i="18" s="1"/>
  <c r="E39" i="18" s="1"/>
  <c r="E38" i="18" s="1"/>
  <c r="G9" i="21"/>
  <c r="H9" i="21" s="1"/>
  <c r="I9" i="21" s="1"/>
  <c r="J9" i="21" s="1"/>
  <c r="K9" i="21" s="1"/>
  <c r="G5" i="21"/>
  <c r="H5" i="21" s="1"/>
  <c r="I5" i="21" s="1"/>
  <c r="J5" i="21" s="1"/>
  <c r="K5" i="21" s="1"/>
  <c r="K48" i="20"/>
  <c r="K50" i="20" s="1"/>
  <c r="J48" i="20"/>
  <c r="J50" i="20" s="1"/>
  <c r="I48" i="20"/>
  <c r="I50" i="20" s="1"/>
  <c r="H48" i="20"/>
  <c r="H50" i="20" s="1"/>
  <c r="G48" i="20"/>
  <c r="G50" i="20" s="1"/>
  <c r="K4" i="20"/>
  <c r="K43" i="20" s="1"/>
  <c r="J4" i="20"/>
  <c r="J59" i="20" s="1"/>
  <c r="I4" i="20"/>
  <c r="I59" i="20" s="1"/>
  <c r="H4" i="20"/>
  <c r="H43" i="20" s="1"/>
  <c r="G4" i="20"/>
  <c r="G43" i="20" s="1"/>
  <c r="J47" i="18"/>
  <c r="F22" i="18"/>
  <c r="F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M11" i="16"/>
  <c r="M15" i="16"/>
  <c r="K15" i="16"/>
  <c r="K13" i="16"/>
  <c r="K11" i="16"/>
  <c r="K10" i="16"/>
  <c r="G10" i="16"/>
  <c r="H10" i="16" s="1"/>
  <c r="P10" i="16" s="1"/>
  <c r="G11" i="16"/>
  <c r="G12" i="16"/>
  <c r="G15" i="16"/>
  <c r="E14" i="16"/>
  <c r="F13" i="16"/>
  <c r="E13" i="16" s="1"/>
  <c r="E12" i="16"/>
  <c r="F15" i="16"/>
  <c r="H15" i="16" s="1"/>
  <c r="F11" i="16"/>
  <c r="E11" i="16" s="1"/>
  <c r="E10" i="16"/>
  <c r="E9" i="16"/>
  <c r="Q41" i="16" s="1"/>
  <c r="E8" i="16"/>
  <c r="H8" i="16"/>
  <c r="P27" i="16"/>
  <c r="Q14" i="16"/>
  <c r="H14" i="16"/>
  <c r="P14" i="16" s="1"/>
  <c r="G13" i="16"/>
  <c r="Q10" i="16"/>
  <c r="Q39" i="16"/>
  <c r="Q9" i="16"/>
  <c r="O27" i="16"/>
  <c r="Q29" i="16"/>
  <c r="G22" i="18" l="1"/>
  <c r="H22" i="18"/>
  <c r="I43" i="20"/>
  <c r="G24" i="20"/>
  <c r="G37" i="20" s="1"/>
  <c r="G59" i="20"/>
  <c r="H59" i="20"/>
  <c r="K24" i="20"/>
  <c r="K37" i="20" s="1"/>
  <c r="K40" i="20" s="1"/>
  <c r="K62" i="20" s="1"/>
  <c r="J24" i="20"/>
  <c r="J37" i="20" s="1"/>
  <c r="I24" i="20"/>
  <c r="I37" i="20" s="1"/>
  <c r="I40" i="20" s="1"/>
  <c r="I62" i="20" s="1"/>
  <c r="H24" i="20"/>
  <c r="H37" i="20" s="1"/>
  <c r="H40" i="20" s="1"/>
  <c r="H62" i="20" s="1"/>
  <c r="K59" i="20"/>
  <c r="J43" i="20"/>
  <c r="D38" i="18"/>
  <c r="D37" i="18"/>
  <c r="D41" i="18" s="1"/>
  <c r="G40" i="20"/>
  <c r="J31" i="18"/>
  <c r="J43" i="18" s="1"/>
  <c r="J44" i="18"/>
  <c r="E41" i="18"/>
  <c r="G21" i="18"/>
  <c r="H21" i="18"/>
  <c r="J46" i="18"/>
  <c r="Q15" i="16"/>
  <c r="E15" i="16"/>
  <c r="O14" i="16"/>
  <c r="P41" i="16"/>
  <c r="O41" i="16"/>
  <c r="H11" i="16"/>
  <c r="Q11" i="16"/>
  <c r="O15" i="16"/>
  <c r="P15" i="16"/>
  <c r="H12" i="16"/>
  <c r="Q12" i="16"/>
  <c r="Q13" i="16"/>
  <c r="H13" i="16"/>
  <c r="O8" i="16"/>
  <c r="P8" i="16"/>
  <c r="P39" i="16"/>
  <c r="O39" i="16"/>
  <c r="Q8" i="16"/>
  <c r="O29" i="16"/>
  <c r="H9" i="16"/>
  <c r="O10" i="16"/>
  <c r="P29" i="16"/>
  <c r="Q27" i="16"/>
  <c r="J46" i="20" l="1"/>
  <c r="J52" i="20" s="1"/>
  <c r="J54" i="20" s="1"/>
  <c r="J61" i="20" s="1"/>
  <c r="I46" i="20"/>
  <c r="I52" i="20" s="1"/>
  <c r="I54" i="20" s="1"/>
  <c r="I61" i="20" s="1"/>
  <c r="I64" i="20" s="1"/>
  <c r="H46" i="20"/>
  <c r="H52" i="20" s="1"/>
  <c r="H54" i="20" s="1"/>
  <c r="J40" i="20"/>
  <c r="J62" i="20" s="1"/>
  <c r="K46" i="20"/>
  <c r="K52" i="20" s="1"/>
  <c r="K54" i="20" s="1"/>
  <c r="K61" i="20" s="1"/>
  <c r="K64" i="20" s="1"/>
  <c r="J49" i="18"/>
  <c r="E28" i="21" s="1"/>
  <c r="O9" i="16"/>
  <c r="P9" i="16"/>
  <c r="P12" i="16"/>
  <c r="O12" i="16"/>
  <c r="P13" i="16"/>
  <c r="O13" i="16"/>
  <c r="Q18" i="16"/>
  <c r="Q22" i="16"/>
  <c r="Q19" i="16"/>
  <c r="Q20" i="16"/>
  <c r="Q17" i="16"/>
  <c r="Q21" i="16"/>
  <c r="P11" i="16"/>
  <c r="O11" i="16"/>
  <c r="O18" i="16" s="1"/>
  <c r="J64" i="20" l="1"/>
  <c r="K57" i="20"/>
  <c r="K56" i="20"/>
  <c r="H61" i="20"/>
  <c r="H64" i="20" s="1"/>
  <c r="K67" i="20" s="1"/>
  <c r="O19" i="16"/>
  <c r="O22" i="16"/>
  <c r="P17" i="16"/>
  <c r="O20" i="16"/>
  <c r="O38" i="16" s="1"/>
  <c r="O40" i="16" s="1"/>
  <c r="O43" i="16" s="1"/>
  <c r="O46" i="16" s="1"/>
  <c r="O21" i="16"/>
  <c r="P19" i="16"/>
  <c r="P18" i="16"/>
  <c r="P22" i="16"/>
  <c r="P20" i="16"/>
  <c r="P26" i="16" s="1"/>
  <c r="P28" i="16" s="1"/>
  <c r="P31" i="16" s="1"/>
  <c r="P34" i="16" s="1"/>
  <c r="P21" i="16"/>
  <c r="Q40" i="16"/>
  <c r="Q28" i="16"/>
  <c r="O17" i="16"/>
  <c r="K66" i="20" l="1"/>
  <c r="E21" i="21" s="1"/>
  <c r="G7" i="21" s="1"/>
  <c r="O26" i="16"/>
  <c r="O28" i="16" s="1"/>
  <c r="O31" i="16" s="1"/>
  <c r="O34" i="16" s="1"/>
  <c r="P38" i="16"/>
  <c r="P40" i="16" s="1"/>
  <c r="P43" i="16" s="1"/>
  <c r="P46" i="16" s="1"/>
  <c r="Q38" i="16"/>
  <c r="Q43" i="16"/>
  <c r="Q46" i="16" s="1"/>
  <c r="Q26" i="16"/>
  <c r="Q31" i="16"/>
  <c r="Q34" i="16" s="1"/>
  <c r="E1" i="11"/>
  <c r="B6" i="11"/>
  <c r="K15" i="11"/>
  <c r="B32" i="11"/>
  <c r="C32" i="11"/>
  <c r="D32" i="11"/>
  <c r="E32" i="11"/>
  <c r="F32" i="11"/>
  <c r="G32" i="11"/>
  <c r="H32" i="11"/>
  <c r="I32" i="11"/>
  <c r="J32" i="11"/>
  <c r="K32" i="11"/>
  <c r="B34" i="11"/>
  <c r="B15" i="11" s="1"/>
  <c r="C34" i="11"/>
  <c r="D34" i="11"/>
  <c r="E34" i="11"/>
  <c r="F34" i="11"/>
  <c r="G34" i="11"/>
  <c r="H34" i="11"/>
  <c r="I34" i="11"/>
  <c r="J34" i="11"/>
  <c r="K34" i="11"/>
  <c r="B51" i="11"/>
  <c r="C51" i="11"/>
  <c r="D51" i="11"/>
  <c r="E51" i="11"/>
  <c r="F51" i="11"/>
  <c r="G51" i="11"/>
  <c r="H51" i="11"/>
  <c r="I51" i="11"/>
  <c r="J51" i="11"/>
  <c r="K51" i="11"/>
  <c r="H73" i="11"/>
  <c r="I73" i="11"/>
  <c r="J73" i="11"/>
  <c r="K73" i="11"/>
  <c r="C29" i="13"/>
  <c r="D29" i="13"/>
  <c r="E29" i="13"/>
  <c r="F29" i="13"/>
  <c r="G29" i="13"/>
  <c r="H29" i="13"/>
  <c r="I29" i="13"/>
  <c r="J29" i="13"/>
  <c r="K29" i="13"/>
  <c r="L29" i="13"/>
  <c r="M29" i="13"/>
  <c r="N29" i="13"/>
  <c r="F6" i="15"/>
  <c r="G4" i="15"/>
  <c r="H4" i="15" s="1"/>
  <c r="I4" i="15" s="1"/>
  <c r="J4" i="15" s="1"/>
  <c r="K4" i="15" s="1"/>
  <c r="G31" i="14"/>
  <c r="G32" i="14" s="1"/>
  <c r="H20" i="14"/>
  <c r="I20" i="14"/>
  <c r="J20" i="14"/>
  <c r="K20" i="14"/>
  <c r="G20" i="14"/>
  <c r="G7" i="14"/>
  <c r="H4" i="14"/>
  <c r="H40" i="14" s="1"/>
  <c r="I4" i="14"/>
  <c r="I56" i="14" s="1"/>
  <c r="J4" i="14"/>
  <c r="J56" i="14" s="1"/>
  <c r="K4" i="14"/>
  <c r="K56" i="14" s="1"/>
  <c r="G4" i="14"/>
  <c r="G56" i="14" s="1"/>
  <c r="M6" i="7"/>
  <c r="G5" i="9"/>
  <c r="J6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8" i="7"/>
  <c r="F20" i="1"/>
  <c r="F19" i="1"/>
  <c r="H16" i="1"/>
  <c r="H17" i="1"/>
  <c r="H18" i="1"/>
  <c r="G16" i="1"/>
  <c r="G17" i="1"/>
  <c r="G18" i="1"/>
  <c r="G8" i="15"/>
  <c r="H8" i="15" s="1"/>
  <c r="I8" i="15" s="1"/>
  <c r="J8" i="15" s="1"/>
  <c r="K8" i="15" s="1"/>
  <c r="H7" i="21" l="1"/>
  <c r="G11" i="21"/>
  <c r="G40" i="14"/>
  <c r="H56" i="14"/>
  <c r="I40" i="14"/>
  <c r="J40" i="14"/>
  <c r="K40" i="14"/>
  <c r="K31" i="14"/>
  <c r="K32" i="14" s="1"/>
  <c r="J31" i="14"/>
  <c r="J32" i="14" s="1"/>
  <c r="I31" i="14"/>
  <c r="I32" i="14" s="1"/>
  <c r="H31" i="14"/>
  <c r="H32" i="14" s="1"/>
  <c r="B31" i="14"/>
  <c r="B11" i="14"/>
  <c r="B8" i="14"/>
  <c r="B7" i="14"/>
  <c r="I7" i="21" l="1"/>
  <c r="H11" i="21"/>
  <c r="J45" i="14"/>
  <c r="J47" i="14" s="1"/>
  <c r="F10" i="15"/>
  <c r="H12" i="14"/>
  <c r="H22" i="14" s="1"/>
  <c r="H34" i="14" s="1"/>
  <c r="G12" i="14"/>
  <c r="G22" i="14" s="1"/>
  <c r="G34" i="14" s="1"/>
  <c r="I12" i="14"/>
  <c r="I22" i="14" s="1"/>
  <c r="I34" i="14" s="1"/>
  <c r="J12" i="14"/>
  <c r="J22" i="14" s="1"/>
  <c r="J34" i="14" s="1"/>
  <c r="K12" i="14"/>
  <c r="K22" i="14" s="1"/>
  <c r="K34" i="14" s="1"/>
  <c r="J7" i="21" l="1"/>
  <c r="I11" i="21"/>
  <c r="I45" i="14"/>
  <c r="I47" i="14" s="1"/>
  <c r="G45" i="14"/>
  <c r="G47" i="14" s="1"/>
  <c r="K45" i="14"/>
  <c r="K47" i="14" s="1"/>
  <c r="K7" i="21" l="1"/>
  <c r="K11" i="21" s="1"/>
  <c r="J11" i="21"/>
  <c r="G37" i="14"/>
  <c r="I43" i="14"/>
  <c r="I49" i="14" s="1"/>
  <c r="I51" i="14" s="1"/>
  <c r="I58" i="14" s="1"/>
  <c r="I37" i="14"/>
  <c r="I59" i="14" s="1"/>
  <c r="J43" i="14"/>
  <c r="J49" i="14" s="1"/>
  <c r="J51" i="14" s="1"/>
  <c r="J58" i="14" s="1"/>
  <c r="J37" i="14"/>
  <c r="J59" i="14" s="1"/>
  <c r="H43" i="14"/>
  <c r="H49" i="14" s="1"/>
  <c r="K43" i="14"/>
  <c r="K49" i="14" s="1"/>
  <c r="K51" i="14" s="1"/>
  <c r="K58" i="14" s="1"/>
  <c r="K37" i="14"/>
  <c r="K59" i="14" s="1"/>
  <c r="H45" i="14"/>
  <c r="H47" i="14" s="1"/>
  <c r="K61" i="14" l="1"/>
  <c r="J61" i="14"/>
  <c r="H37" i="14"/>
  <c r="H59" i="14" s="1"/>
  <c r="H51" i="14"/>
  <c r="H58" i="14" s="1"/>
  <c r="I61" i="14"/>
  <c r="K54" i="14" l="1"/>
  <c r="F13" i="21" s="1"/>
  <c r="H61" i="14"/>
  <c r="K64" i="14" s="1"/>
  <c r="K53" i="14"/>
  <c r="K63" i="14"/>
  <c r="E20" i="15" s="1"/>
  <c r="G13" i="21" l="1"/>
  <c r="F15" i="21"/>
  <c r="G6" i="15"/>
  <c r="F12" i="15"/>
  <c r="H13" i="21" l="1"/>
  <c r="G15" i="21"/>
  <c r="G12" i="15"/>
  <c r="H12" i="15" s="1"/>
  <c r="I12" i="15" s="1"/>
  <c r="J12" i="15" s="1"/>
  <c r="K12" i="15" s="1"/>
  <c r="F14" i="15"/>
  <c r="H6" i="15"/>
  <c r="G10" i="15"/>
  <c r="G7" i="9"/>
  <c r="H13" i="1"/>
  <c r="C35" i="1"/>
  <c r="J12" i="7"/>
  <c r="G14" i="15" l="1"/>
  <c r="I13" i="21"/>
  <c r="H15" i="21"/>
  <c r="I6" i="15"/>
  <c r="H10" i="15"/>
  <c r="H14" i="15" s="1"/>
  <c r="G15" i="1"/>
  <c r="G14" i="1"/>
  <c r="G13" i="1"/>
  <c r="G12" i="1"/>
  <c r="G11" i="1"/>
  <c r="H11" i="1"/>
  <c r="H12" i="1"/>
  <c r="H14" i="1"/>
  <c r="H15" i="1"/>
  <c r="C36" i="1"/>
  <c r="C37" i="1" s="1"/>
  <c r="D37" i="1" s="1"/>
  <c r="E37" i="1" s="1"/>
  <c r="E36" i="1" s="1"/>
  <c r="E27" i="1"/>
  <c r="E28" i="1" s="1"/>
  <c r="J44" i="1" s="1"/>
  <c r="J13" i="21" l="1"/>
  <c r="I15" i="21"/>
  <c r="J6" i="15"/>
  <c r="I10" i="15"/>
  <c r="I14" i="15" s="1"/>
  <c r="H19" i="1"/>
  <c r="H20" i="1"/>
  <c r="G19" i="1"/>
  <c r="G20" i="1"/>
  <c r="D35" i="1"/>
  <c r="D36" i="1"/>
  <c r="J45" i="1"/>
  <c r="K13" i="21" l="1"/>
  <c r="K15" i="21" s="1"/>
  <c r="E27" i="21" s="1"/>
  <c r="J15" i="21"/>
  <c r="K6" i="15"/>
  <c r="K10" i="15" s="1"/>
  <c r="K14" i="15" s="1"/>
  <c r="E26" i="15" s="1"/>
  <c r="J10" i="15"/>
  <c r="J14" i="15" s="1"/>
  <c r="D39" i="1"/>
  <c r="K17" i="21" l="1"/>
  <c r="K19" i="21" s="1"/>
  <c r="H17" i="21"/>
  <c r="H19" i="21" s="1"/>
  <c r="F17" i="21"/>
  <c r="F19" i="21" s="1"/>
  <c r="E31" i="21"/>
  <c r="J17" i="21"/>
  <c r="J19" i="21" s="1"/>
  <c r="I17" i="21"/>
  <c r="I19" i="21" s="1"/>
  <c r="G17" i="21"/>
  <c r="G19" i="21" s="1"/>
  <c r="E39" i="1"/>
  <c r="J29" i="1" s="1"/>
  <c r="J41" i="1" s="1"/>
  <c r="J42" i="1"/>
  <c r="E37" i="21" l="1"/>
  <c r="E36" i="21"/>
  <c r="E38" i="21" s="1"/>
  <c r="E42" i="21" s="1"/>
  <c r="E44" i="21" s="1"/>
  <c r="J47" i="1"/>
  <c r="E27" i="15" s="1"/>
  <c r="F16" i="15" l="1"/>
  <c r="F18" i="15" s="1"/>
  <c r="I16" i="15"/>
  <c r="I18" i="15" s="1"/>
  <c r="J16" i="15"/>
  <c r="J18" i="15" s="1"/>
  <c r="G16" i="15"/>
  <c r="G18" i="15" s="1"/>
  <c r="H16" i="15"/>
  <c r="H18" i="15" s="1"/>
  <c r="K16" i="15"/>
  <c r="K18" i="15" s="1"/>
  <c r="E30" i="15"/>
  <c r="E36" i="15" l="1"/>
  <c r="E35" i="15"/>
  <c r="E37" i="15" l="1"/>
  <c r="E41" i="15" s="1"/>
  <c r="E43" i="15" s="1"/>
</calcChain>
</file>

<file path=xl/sharedStrings.xml><?xml version="1.0" encoding="utf-8"?>
<sst xmlns="http://schemas.openxmlformats.org/spreadsheetml/2006/main" count="1069" uniqueCount="694">
  <si>
    <t>Weighted Average Cost of Capital</t>
  </si>
  <si>
    <t>Peer Comps</t>
  </si>
  <si>
    <t>Name</t>
  </si>
  <si>
    <t>Total Debt</t>
  </si>
  <si>
    <t>Total Equity</t>
  </si>
  <si>
    <t>Average</t>
  </si>
  <si>
    <t>Debt/</t>
  </si>
  <si>
    <t>Equity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</si>
  <si>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</si>
  <si>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Capital</t>
  </si>
  <si>
    <t>Median</t>
  </si>
  <si>
    <t>Capital Structure</t>
  </si>
  <si>
    <t>Market Capitalization</t>
  </si>
  <si>
    <t>Total Capitalization</t>
  </si>
  <si>
    <t>Current</t>
  </si>
  <si>
    <t>Target</t>
  </si>
  <si>
    <t>Cost of Equity</t>
  </si>
  <si>
    <t>Risk Free Rate</t>
  </si>
  <si>
    <t>Equity Risk Premium</t>
  </si>
  <si>
    <t>Debt / Equity</t>
  </si>
  <si>
    <t>Cost of Debt</t>
  </si>
  <si>
    <t>Pre-tax Cost of Debt</t>
  </si>
  <si>
    <t>Tax Rate</t>
  </si>
  <si>
    <t>After Tax Cost of Debt</t>
  </si>
  <si>
    <t xml:space="preserve">Levered Beta </t>
  </si>
  <si>
    <t>1. Tax Rate considered as Marginal Tax Rate for the country</t>
  </si>
  <si>
    <t>2. Levered Beta is based on 5 year monthly data</t>
  </si>
  <si>
    <t xml:space="preserve"> </t>
  </si>
  <si>
    <t>3. Unlevered Beta = Levered Beta/(1+(1-Tax Rate) x Debt/Equity)</t>
  </si>
  <si>
    <t>3. Levered Beta = Unlevered Beta/(1+(1-Tax Rate) x Debt/Equity)</t>
  </si>
  <si>
    <t>Date</t>
  </si>
  <si>
    <t>Closing Price</t>
  </si>
  <si>
    <t>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</si>
  <si>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</si>
  <si>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</si>
  <si>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</si>
  <si>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</si>
  <si>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</si>
  <si>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</si>
  <si>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</si>
  <si>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</si>
  <si>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</si>
  <si>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</si>
  <si>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</si>
  <si>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</si>
  <si>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</si>
  <si>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</si>
  <si>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</si>
  <si>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</si>
  <si>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</si>
  <si>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</si>
  <si>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</si>
  <si>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</si>
  <si>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</si>
  <si>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</si>
  <si>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</si>
  <si>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</si>
  <si>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</si>
  <si>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</si>
  <si>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</si>
  <si>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</si>
  <si>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</si>
  <si>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</si>
  <si>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</si>
  <si>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Year</t>
  </si>
  <si>
    <t>Annual</t>
  </si>
  <si>
    <t>Return on Markets</t>
  </si>
  <si>
    <t>Average Return</t>
  </si>
  <si>
    <t>Dividend Yield</t>
  </si>
  <si>
    <t>Total Market Returns</t>
  </si>
  <si>
    <t>Equity Weight</t>
  </si>
  <si>
    <t>Debt Weight</t>
  </si>
  <si>
    <t>WACC</t>
  </si>
  <si>
    <t>#</t>
  </si>
  <si>
    <t>Sales</t>
  </si>
  <si>
    <t>Gross Profit</t>
  </si>
  <si>
    <t>EBITDA</t>
  </si>
  <si>
    <t>Interest</t>
  </si>
  <si>
    <t>Depreciation</t>
  </si>
  <si>
    <t>Tax</t>
  </si>
  <si>
    <t>Effective Tax Rate</t>
  </si>
  <si>
    <t>Retained Earnings</t>
  </si>
  <si>
    <t>Equity Share Capital</t>
  </si>
  <si>
    <t>Reserves</t>
  </si>
  <si>
    <t>Borrowings</t>
  </si>
  <si>
    <t>Other Liabilities</t>
  </si>
  <si>
    <t>Total Liabilities</t>
  </si>
  <si>
    <t>Capital Work in Progress</t>
  </si>
  <si>
    <t>Investments</t>
  </si>
  <si>
    <t>Other Assets</t>
  </si>
  <si>
    <t>Receivables</t>
  </si>
  <si>
    <t>Inventory</t>
  </si>
  <si>
    <t>Cash &amp; Bank</t>
  </si>
  <si>
    <t>Total Current Assets</t>
  </si>
  <si>
    <t>Total Assets</t>
  </si>
  <si>
    <t>Cash from Operating Activities</t>
  </si>
  <si>
    <t>Cash from Investing Activities</t>
  </si>
  <si>
    <t>Cash from Financing Activities</t>
  </si>
  <si>
    <t>Net Cash Flow</t>
  </si>
  <si>
    <t>COMPANY NAME</t>
  </si>
  <si>
    <t>ASIAN PAINTS LTD</t>
  </si>
  <si>
    <t>LATEST VERSION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</si>
  <si>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</si>
  <si>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</si>
  <si>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</si>
  <si>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</si>
  <si>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</si>
  <si>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</si>
  <si>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</si>
  <si>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</si>
  <si>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</si>
  <si>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</si>
  <si>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</si>
  <si>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</si>
  <si>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</si>
  <si>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</si>
  <si>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</si>
  <si>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</si>
  <si>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</si>
  <si>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Dividend Amount</t>
  </si>
  <si>
    <t>Quarters</t>
  </si>
  <si>
    <t>Expenses</t>
  </si>
  <si>
    <t>Operating Profit</t>
  </si>
  <si>
    <t>BALANCE SHEET</t>
  </si>
  <si>
    <t>Net Block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</si>
  <si>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</si>
  <si>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</si>
  <si>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</si>
  <si>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</si>
  <si>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</si>
  <si>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</si>
  <si>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</si>
  <si>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PRICE:</t>
  </si>
  <si>
    <t>DERIVED:</t>
  </si>
  <si>
    <t>Adjusted Equity Shares in Cr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</si>
  <si>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</si>
  <si>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</si>
  <si>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</si>
  <si>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</si>
  <si>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</si>
  <si>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</si>
  <si>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</si>
  <si>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</si>
  <si>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</si>
  <si>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</si>
  <si>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</si>
  <si>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</si>
  <si>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</si>
  <si>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</si>
  <si>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</si>
  <si>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</si>
  <si>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</si>
  <si>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</si>
  <si>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</si>
  <si>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</si>
  <si>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</si>
  <si>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</si>
  <si>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</si>
  <si>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</si>
  <si>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</si>
  <si>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</si>
  <si>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</si>
  <si>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</si>
  <si>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</si>
  <si>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Particulars</t>
  </si>
  <si>
    <t>ROIC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</si>
  <si>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</si>
  <si>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</si>
  <si>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</si>
  <si>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</si>
  <si>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</si>
  <si>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</si>
  <si>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Net Non Current Assets</t>
  </si>
  <si>
    <t>Invested Capital</t>
  </si>
  <si>
    <t>EBIT</t>
  </si>
  <si>
    <t>Calculation of Reinvestment Rate</t>
  </si>
  <si>
    <t>Net Capex</t>
  </si>
  <si>
    <t>Cash from Operating Activity -</t>
  </si>
  <si>
    <t>Profit from operations</t>
  </si>
  <si>
    <t>Payables</t>
  </si>
  <si>
    <t>Other WC items</t>
  </si>
  <si>
    <t>Working capital changes</t>
  </si>
  <si>
    <t>Direct taxes</t>
  </si>
  <si>
    <t>Exceptional CF items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</si>
  <si>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</si>
  <si>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</si>
  <si>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</si>
  <si>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</si>
  <si>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</si>
  <si>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</si>
  <si>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</si>
  <si>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Redemp n Canc of Shares</t>
  </si>
  <si>
    <t>Acquisition of companies</t>
  </si>
  <si>
    <t>Other investing items</t>
  </si>
  <si>
    <t>Cash from Financing Activity -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</si>
  <si>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</si>
  <si>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</si>
  <si>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</si>
  <si>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</si>
  <si>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</si>
  <si>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</si>
  <si>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Change in Working Capital</t>
  </si>
  <si>
    <t>Marginal Tax Rate</t>
  </si>
  <si>
    <t>Reinvestment</t>
  </si>
  <si>
    <t>EBIT(1-T)</t>
  </si>
  <si>
    <t>Reinvestment Rate</t>
  </si>
  <si>
    <t>4 Year Average</t>
  </si>
  <si>
    <t>4 Year Median</t>
  </si>
  <si>
    <t>Calculation of Growth Rate</t>
  </si>
  <si>
    <t>Intrinsic Growth</t>
  </si>
  <si>
    <t>EBIT (1-T)</t>
  </si>
  <si>
    <t>Less: Reinvestment Rate</t>
  </si>
  <si>
    <t>Free Cash Flow to Firm</t>
  </si>
  <si>
    <t>Expected Growth</t>
  </si>
  <si>
    <t>Terminal Growth</t>
  </si>
  <si>
    <t>Calculation of Terminal Value</t>
  </si>
  <si>
    <t>FCFF (n+1)</t>
  </si>
  <si>
    <t>Terminal Growth Rate</t>
  </si>
  <si>
    <t>Terminal Value</t>
  </si>
  <si>
    <t>Calculation of PV of FCFF</t>
  </si>
  <si>
    <t>Discounting Factor</t>
  </si>
  <si>
    <t>PV of FCFF</t>
  </si>
  <si>
    <t>Calculation of Enterprise Value</t>
  </si>
  <si>
    <t>PV of Terminal Value</t>
  </si>
  <si>
    <t>Value of Operating Asset</t>
  </si>
  <si>
    <t>Add: Cash</t>
  </si>
  <si>
    <t>Less: Debt</t>
  </si>
  <si>
    <t>Value of Equity</t>
  </si>
  <si>
    <t>No. of Shares</t>
  </si>
  <si>
    <t>Value per Share</t>
  </si>
  <si>
    <t>Nike</t>
  </si>
  <si>
    <t>Adidas</t>
  </si>
  <si>
    <t>Under Armour</t>
  </si>
  <si>
    <t>Skechers</t>
  </si>
  <si>
    <t>Puma</t>
  </si>
  <si>
    <t>Li Ning</t>
  </si>
  <si>
    <t>Asics</t>
  </si>
  <si>
    <t>V.F Corp</t>
  </si>
  <si>
    <t>NIKE - WACC Calculation</t>
  </si>
  <si>
    <t>REVENUE</t>
  </si>
  <si>
    <t>Revenue</t>
  </si>
  <si>
    <t>39 117</t>
  </si>
  <si>
    <t>37 403</t>
  </si>
  <si>
    <t>44 538</t>
  </si>
  <si>
    <t>46 710</t>
  </si>
  <si>
    <t>51 217</t>
  </si>
  <si>
    <t>GROSS PROFIT</t>
  </si>
  <si>
    <t>Cost of Revenue</t>
  </si>
  <si>
    <t>(21 643)</t>
  </si>
  <si>
    <t>(21 162)</t>
  </si>
  <si>
    <t>(24 541)</t>
  </si>
  <si>
    <t>(25 231)</t>
  </si>
  <si>
    <t>(28 925)</t>
  </si>
  <si>
    <t>17 474</t>
  </si>
  <si>
    <t>16 241</t>
  </si>
  <si>
    <t>19 997</t>
  </si>
  <si>
    <t>21 479</t>
  </si>
  <si>
    <t>22 292</t>
  </si>
  <si>
    <t>OPERATING INCOME</t>
  </si>
  <si>
    <t>Operating Expenses</t>
  </si>
  <si>
    <t>(12 702)</t>
  </si>
  <si>
    <t>(13 126)</t>
  </si>
  <si>
    <t>(12 811)</t>
  </si>
  <si>
    <t>(14 804)</t>
  </si>
  <si>
    <t>(16 377)</t>
  </si>
  <si>
    <t>Selling, General &amp; Administrative</t>
  </si>
  <si>
    <t>Operating Income</t>
  </si>
  <si>
    <t>4 772</t>
  </si>
  <si>
    <t>3 115</t>
  </si>
  <si>
    <t>7 186</t>
  </si>
  <si>
    <t>6 675</t>
  </si>
  <si>
    <t>5 915</t>
  </si>
  <si>
    <t>PRE-TAX INCOME</t>
  </si>
  <si>
    <t>Interest Income Expense</t>
  </si>
  <si>
    <t>Non-Reccuring Items</t>
  </si>
  <si>
    <t>Total Other Income</t>
  </si>
  <si>
    <t>NET INCOME</t>
  </si>
  <si>
    <t>Tax Provision</t>
  </si>
  <si>
    <t>Income from Continuing Operations</t>
  </si>
  <si>
    <t>Net Income (Common)</t>
  </si>
  <si>
    <t>EPS (Diluted)</t>
  </si>
  <si>
    <t>(1 131)</t>
  </si>
  <si>
    <t>4 029</t>
  </si>
  <si>
    <t>2 539</t>
  </si>
  <si>
    <t>5 727</t>
  </si>
  <si>
    <t>6 046</t>
  </si>
  <si>
    <t>5 634</t>
  </si>
  <si>
    <t>5 070</t>
  </si>
  <si>
    <t>Nike Weekly Returns</t>
  </si>
  <si>
    <t>Regression Beta - 5 Years Weekly</t>
  </si>
  <si>
    <t>BETA</t>
  </si>
  <si>
    <t>NYSE Returns</t>
  </si>
  <si>
    <t>S&amp;P 500 Index - Historical Annual Data</t>
  </si>
  <si>
    <t>Year Open</t>
  </si>
  <si>
    <t>Year High</t>
  </si>
  <si>
    <t>Year Low</t>
  </si>
  <si>
    <t>Year Close</t>
  </si>
  <si>
    <t>4 466</t>
  </si>
  <si>
    <t>8 348</t>
  </si>
  <si>
    <t>9 889</t>
  </si>
  <si>
    <t>8 574</t>
  </si>
  <si>
    <t>7 441</t>
  </si>
  <si>
    <t>Short-Term Investments</t>
  </si>
  <si>
    <t>3 587</t>
  </si>
  <si>
    <t>4 423</t>
  </si>
  <si>
    <t>3 234</t>
  </si>
  <si>
    <t>Total Receivables</t>
  </si>
  <si>
    <t>3 358</t>
  </si>
  <si>
    <t>4 272</t>
  </si>
  <si>
    <t>2 749</t>
  </si>
  <si>
    <t>4 463</t>
  </si>
  <si>
    <t>4 667</t>
  </si>
  <si>
    <t>4 131</t>
  </si>
  <si>
    <t>Accounts Receivables</t>
  </si>
  <si>
    <t>Other Receivables</t>
  </si>
  <si>
    <t>7 367</t>
  </si>
  <si>
    <t>6 854</t>
  </si>
  <si>
    <t>8 420</t>
  </si>
  <si>
    <t>8 454</t>
  </si>
  <si>
    <t>Other Current Assets</t>
  </si>
  <si>
    <t>1 968</t>
  </si>
  <si>
    <t>1 653</t>
  </si>
  <si>
    <t>1 498</t>
  </si>
  <si>
    <t>2 129</t>
  </si>
  <si>
    <t>1 942</t>
  </si>
  <si>
    <t>16 525</t>
  </si>
  <si>
    <t>20 556</t>
  </si>
  <si>
    <t>26 291</t>
  </si>
  <si>
    <t>28 213</t>
  </si>
  <si>
    <t>25 202</t>
  </si>
  <si>
    <t>PP&amp;E Net</t>
  </si>
  <si>
    <t>4 744</t>
  </si>
  <si>
    <t>7 963</t>
  </si>
  <si>
    <t>8 017</t>
  </si>
  <si>
    <t>7 717</t>
  </si>
  <si>
    <t>8 004</t>
  </si>
  <si>
    <t>PP&amp;E Gross</t>
  </si>
  <si>
    <t>4 725</t>
  </si>
  <si>
    <t>4 795</t>
  </si>
  <si>
    <t>5 157</t>
  </si>
  <si>
    <t>5 306</t>
  </si>
  <si>
    <t>Goodwill</t>
  </si>
  <si>
    <t>Other Long-Term Assets</t>
  </si>
  <si>
    <t>2 011</t>
  </si>
  <si>
    <t>2 326</t>
  </si>
  <si>
    <t>2 921</t>
  </si>
  <si>
    <t>3 821</t>
  </si>
  <si>
    <t>3 770</t>
  </si>
  <si>
    <t>23 717</t>
  </si>
  <si>
    <t>31 342</t>
  </si>
  <si>
    <t>37 740</t>
  </si>
  <si>
    <t>40 321</t>
  </si>
  <si>
    <t>37 531</t>
  </si>
  <si>
    <t>2 612</t>
  </si>
  <si>
    <t>2 248</t>
  </si>
  <si>
    <t>2 836</t>
  </si>
  <si>
    <t>2 862</t>
  </si>
  <si>
    <t>Accrued Liabilities</t>
  </si>
  <si>
    <t>2 558</t>
  </si>
  <si>
    <t>4 271</t>
  </si>
  <si>
    <t>4 504</t>
  </si>
  <si>
    <t>6 172</t>
  </si>
  <si>
    <t>6 243</t>
  </si>
  <si>
    <t>5 619</t>
  </si>
  <si>
    <t>Short-Term Debt</t>
  </si>
  <si>
    <t>Current Portion of Long-Term Debt</t>
  </si>
  <si>
    <t>Other Current Liabilities</t>
  </si>
  <si>
    <t>1 281</t>
  </si>
  <si>
    <t>7 866</t>
  </si>
  <si>
    <t>8 284</t>
  </si>
  <si>
    <t>9 674</t>
  </si>
  <si>
    <t>10 730</t>
  </si>
  <si>
    <t>9 256</t>
  </si>
  <si>
    <t>Long-Term Debt</t>
  </si>
  <si>
    <t>3 464</t>
  </si>
  <si>
    <t>9 406</t>
  </si>
  <si>
    <t>9 413</t>
  </si>
  <si>
    <t>8 920</t>
  </si>
  <si>
    <t>Deferred Income Tax</t>
  </si>
  <si>
    <t>3 345</t>
  </si>
  <si>
    <t>2 684</t>
  </si>
  <si>
    <t>2 955</t>
  </si>
  <si>
    <t>2 613</t>
  </si>
  <si>
    <t>2 913</t>
  </si>
  <si>
    <t>2 931</t>
  </si>
  <si>
    <t>2 777</t>
  </si>
  <si>
    <t>2 786</t>
  </si>
  <si>
    <t>14 677</t>
  </si>
  <si>
    <t>23 287</t>
  </si>
  <si>
    <t>24 973</t>
  </si>
  <si>
    <t>25 040</t>
  </si>
  <si>
    <t>23 527</t>
  </si>
  <si>
    <t>1 643</t>
  </si>
  <si>
    <t>3 179</t>
  </si>
  <si>
    <t>3 476</t>
  </si>
  <si>
    <t>1 358</t>
  </si>
  <si>
    <t>Additional Paid In Capital</t>
  </si>
  <si>
    <t>7 163</t>
  </si>
  <si>
    <t>8 299</t>
  </si>
  <si>
    <t>9 965</t>
  </si>
  <si>
    <t>11 484</t>
  </si>
  <si>
    <t>12 412</t>
  </si>
  <si>
    <t>Other Equity</t>
  </si>
  <si>
    <t>9 040</t>
  </si>
  <si>
    <t>8 055</t>
  </si>
  <si>
    <t>12 767</t>
  </si>
  <si>
    <t>15 281</t>
  </si>
  <si>
    <t>14 004</t>
  </si>
  <si>
    <t>Total Liabilities &amp; Equity</t>
  </si>
  <si>
    <t>1 568</t>
  </si>
  <si>
    <t>1 558</t>
  </si>
  <si>
    <t>1 578</t>
  </si>
  <si>
    <t>1 571</t>
  </si>
  <si>
    <t>1 532</t>
  </si>
  <si>
    <t>INCOME STATEMENT</t>
  </si>
  <si>
    <t>ASSETS</t>
  </si>
  <si>
    <t>Cash &amp; Cash Equivalents</t>
  </si>
  <si>
    <t>LIABILITIES</t>
  </si>
  <si>
    <t>Accounts Payable</t>
  </si>
  <si>
    <t>EQUITY</t>
  </si>
  <si>
    <t>Common Stock</t>
  </si>
  <si>
    <t>SHARES OUTSTANDING</t>
  </si>
  <si>
    <t>Common Shares Outstanding</t>
  </si>
  <si>
    <t>Pre-Tax Income</t>
  </si>
  <si>
    <t>4 801</t>
  </si>
  <si>
    <t>2 887</t>
  </si>
  <si>
    <t>6 661</t>
  </si>
  <si>
    <t>6 651</t>
  </si>
  <si>
    <t>6 201</t>
  </si>
  <si>
    <t>OPERATING CASH FLOW</t>
  </si>
  <si>
    <t>Net Income</t>
  </si>
  <si>
    <t>Depreciation &amp; Amortization</t>
  </si>
  <si>
    <t>Change in Deffered Taxes</t>
  </si>
  <si>
    <t>Stock-Based Compensation</t>
  </si>
  <si>
    <t>Other Non-Cash Items</t>
  </si>
  <si>
    <t>Cash Taxes Paid</t>
  </si>
  <si>
    <t>1 028</t>
  </si>
  <si>
    <t>1 177</t>
  </si>
  <si>
    <t>1 231</t>
  </si>
  <si>
    <t>1 517</t>
  </si>
  <si>
    <t>Cash Interest Paid</t>
  </si>
  <si>
    <t>(1 245)</t>
  </si>
  <si>
    <t>(1 660)</t>
  </si>
  <si>
    <t>5 903</t>
  </si>
  <si>
    <t>2 485</t>
  </si>
  <si>
    <t>6 657</t>
  </si>
  <si>
    <t>5 188</t>
  </si>
  <si>
    <t>5 841</t>
  </si>
  <si>
    <t>INVESTING CASH FLOW</t>
  </si>
  <si>
    <t>Capital Expenditures</t>
  </si>
  <si>
    <t>(1 028)</t>
  </si>
  <si>
    <t>(1 119)</t>
  </si>
  <si>
    <t>(1 086)</t>
  </si>
  <si>
    <t>Other Items</t>
  </si>
  <si>
    <t>(3 105)</t>
  </si>
  <si>
    <t>1 533</t>
  </si>
  <si>
    <t>(3 800)</t>
  </si>
  <si>
    <t>(1 524)</t>
  </si>
  <si>
    <t>FINANCING CASH FLOW</t>
  </si>
  <si>
    <t>Net Issuance of Common Stock</t>
  </si>
  <si>
    <t>(3 586)</t>
  </si>
  <si>
    <t>(2 182)</t>
  </si>
  <si>
    <t>(2 863)</t>
  </si>
  <si>
    <t>(4 829)</t>
  </si>
  <si>
    <t>Net Issuance of Debt</t>
  </si>
  <si>
    <t>6 183</t>
  </si>
  <si>
    <t>Cash Paid for Dividends</t>
  </si>
  <si>
    <t>(1 133)</t>
  </si>
  <si>
    <t>(1 332)</t>
  </si>
  <si>
    <t>(1 452)</t>
  </si>
  <si>
    <t>(1 638)</t>
  </si>
  <si>
    <t>(1 837)</t>
  </si>
  <si>
    <t>(2 012)</t>
  </si>
  <si>
    <t>Other</t>
  </si>
  <si>
    <t>(5 293)</t>
  </si>
  <si>
    <t>2 491</t>
  </si>
  <si>
    <t>(1 459)</t>
  </si>
  <si>
    <t>(4 836)</t>
  </si>
  <si>
    <t>(7 447)</t>
  </si>
  <si>
    <t>CHANGE IN CASH</t>
  </si>
  <si>
    <t>Effect of Foreign Exchange Rates</t>
  </si>
  <si>
    <t>Net Change in Cash</t>
  </si>
  <si>
    <t>3 882</t>
  </si>
  <si>
    <t>1 541</t>
  </si>
  <si>
    <t>(1 315)</t>
  </si>
  <si>
    <t>FREE CASH FLOW</t>
  </si>
  <si>
    <t>Free Cash Flow</t>
  </si>
  <si>
    <t>4 784</t>
  </si>
  <si>
    <t>1 399</t>
  </si>
  <si>
    <t>5 962</t>
  </si>
  <si>
    <t>4 430</t>
  </si>
  <si>
    <t>4 872</t>
  </si>
  <si>
    <t>CASH FLOW STATEMENT</t>
  </si>
  <si>
    <t>All figures are in USD unless stated otherwise.</t>
  </si>
  <si>
    <t>Comparable Company Valuation</t>
  </si>
  <si>
    <t>Market Data</t>
  </si>
  <si>
    <t>Financials</t>
  </si>
  <si>
    <t>Valuation</t>
  </si>
  <si>
    <t>Company</t>
  </si>
  <si>
    <t>Ticker</t>
  </si>
  <si>
    <t>Share Price</t>
  </si>
  <si>
    <t>Shares Outstanding</t>
  </si>
  <si>
    <t>Equity Value</t>
  </si>
  <si>
    <t>Net Debt</t>
  </si>
  <si>
    <t>Enterprise Value</t>
  </si>
  <si>
    <t>EV/Revenue</t>
  </si>
  <si>
    <t>EV/EBITDA</t>
  </si>
  <si>
    <t>P/E</t>
  </si>
  <si>
    <t>NYSE: NKE</t>
  </si>
  <si>
    <t>ETR: ADS</t>
  </si>
  <si>
    <t>NYSE: UAA</t>
  </si>
  <si>
    <t>NYSE: SKX</t>
  </si>
  <si>
    <t>OTCMKTS: PUMSY</t>
  </si>
  <si>
    <t>HKG: 2331</t>
  </si>
  <si>
    <t>TYO: 7936</t>
  </si>
  <si>
    <t>NYSE: VFC</t>
  </si>
  <si>
    <t>High</t>
  </si>
  <si>
    <t>75th Percentile</t>
  </si>
  <si>
    <t>25th Percentile</t>
  </si>
  <si>
    <t>Low</t>
  </si>
  <si>
    <t>Nike Comparable Valuation</t>
  </si>
  <si>
    <t>Implied Enterprise Value</t>
  </si>
  <si>
    <t>Implied Market Value</t>
  </si>
  <si>
    <t>Implied Value per Share</t>
  </si>
  <si>
    <t>Source: Yahoo Finance, SEC, Companies Market Cap</t>
  </si>
  <si>
    <t>Adidas Comparable Valuation</t>
  </si>
  <si>
    <t>Amount in millions     Currency in USD</t>
  </si>
  <si>
    <t>All figures are in millions</t>
  </si>
  <si>
    <t>ADIDAS - WACC Calculation</t>
  </si>
  <si>
    <t>N/A</t>
  </si>
  <si>
    <t>23 640</t>
  </si>
  <si>
    <t>18 435</t>
  </si>
  <si>
    <t>21 234</t>
  </si>
  <si>
    <t>22 511</t>
  </si>
  <si>
    <t>21 427</t>
  </si>
  <si>
    <t>(11 347)</t>
  </si>
  <si>
    <t>(9 213)</t>
  </si>
  <si>
    <t>(10 469)</t>
  </si>
  <si>
    <t>(11 867)</t>
  </si>
  <si>
    <t>(11 244)</t>
  </si>
  <si>
    <t>12 293</t>
  </si>
  <si>
    <t>9 222</t>
  </si>
  <si>
    <t>10 765</t>
  </si>
  <si>
    <t>10 644</t>
  </si>
  <si>
    <t>10 183</t>
  </si>
  <si>
    <t>(9 504)</t>
  </si>
  <si>
    <t>(8 363)</t>
  </si>
  <si>
    <t>(8 708)</t>
  </si>
  <si>
    <t>(9 796)</t>
  </si>
  <si>
    <t>(9 922)</t>
  </si>
  <si>
    <t>(9 557)</t>
  </si>
  <si>
    <t>(8 349)</t>
  </si>
  <si>
    <t>(8 686)</t>
  </si>
  <si>
    <t>(9 925)</t>
  </si>
  <si>
    <t>(9 782)</t>
  </si>
  <si>
    <t>Research &amp; Development</t>
  </si>
  <si>
    <t>Other Operating Expenses</t>
  </si>
  <si>
    <t>2 789</t>
  </si>
  <si>
    <t>2 057</t>
  </si>
  <si>
    <t>1 852</t>
  </si>
  <si>
    <t>1 918</t>
  </si>
  <si>
    <t>1 492</t>
  </si>
  <si>
    <t>Income to Minority Interest</t>
  </si>
  <si>
    <t>1 976</t>
  </si>
  <si>
    <t>2 116</t>
  </si>
  <si>
    <t>2 220</t>
  </si>
  <si>
    <t>3 994</t>
  </si>
  <si>
    <t>3 828</t>
  </si>
  <si>
    <t>3 278</t>
  </si>
  <si>
    <t>2 713</t>
  </si>
  <si>
    <t>2 986</t>
  </si>
  <si>
    <t>3 558</t>
  </si>
  <si>
    <t>2 785</t>
  </si>
  <si>
    <t>2 642</t>
  </si>
  <si>
    <t>2 190</t>
  </si>
  <si>
    <t>2 544</t>
  </si>
  <si>
    <t>1 916</t>
  </si>
  <si>
    <t>1 014</t>
  </si>
  <si>
    <t>2 526</t>
  </si>
  <si>
    <t>4 085</t>
  </si>
  <si>
    <t>4 397</t>
  </si>
  <si>
    <t>4 009</t>
  </si>
  <si>
    <t>5 973</t>
  </si>
  <si>
    <t>4 525</t>
  </si>
  <si>
    <t>2 908</t>
  </si>
  <si>
    <t>10 934</t>
  </si>
  <si>
    <t>12 154</t>
  </si>
  <si>
    <t>13 944</t>
  </si>
  <si>
    <t>11 732</t>
  </si>
  <si>
    <t>9 809</t>
  </si>
  <si>
    <t>5 311</t>
  </si>
  <si>
    <t>4 587</t>
  </si>
  <si>
    <t>4 825</t>
  </si>
  <si>
    <t>4 944</t>
  </si>
  <si>
    <t>4 404</t>
  </si>
  <si>
    <t>1 370</t>
  </si>
  <si>
    <t>2 025</t>
  </si>
  <si>
    <t>2 169</t>
  </si>
  <si>
    <t>2 316</t>
  </si>
  <si>
    <t>2 628</t>
  </si>
  <si>
    <t>2 707</t>
  </si>
  <si>
    <t>1 164</t>
  </si>
  <si>
    <t>1 002</t>
  </si>
  <si>
    <t>1 257</t>
  </si>
  <si>
    <t>1 208</t>
  </si>
  <si>
    <t>1 228</t>
  </si>
  <si>
    <t>1 260</t>
  </si>
  <si>
    <t>1 238</t>
  </si>
  <si>
    <t>Note Receivable</t>
  </si>
  <si>
    <t>Long-Term Investments</t>
  </si>
  <si>
    <t>1 354</t>
  </si>
  <si>
    <t>1 458</t>
  </si>
  <si>
    <t>1 391</t>
  </si>
  <si>
    <t>1 297</t>
  </si>
  <si>
    <t>1 410</t>
  </si>
  <si>
    <t>20 680</t>
  </si>
  <si>
    <t>21 053</t>
  </si>
  <si>
    <t>22 137</t>
  </si>
  <si>
    <t>20 296</t>
  </si>
  <si>
    <t>18 020</t>
  </si>
  <si>
    <t>2 703</t>
  </si>
  <si>
    <t>2 390</t>
  </si>
  <si>
    <t>2 294</t>
  </si>
  <si>
    <t>2 276</t>
  </si>
  <si>
    <t>3 037</t>
  </si>
  <si>
    <t>2 694</t>
  </si>
  <si>
    <t>3 292</t>
  </si>
  <si>
    <t>2 967</t>
  </si>
  <si>
    <t>2 799</t>
  </si>
  <si>
    <t>1 249</t>
  </si>
  <si>
    <t>1 170</t>
  </si>
  <si>
    <t>1 094</t>
  </si>
  <si>
    <t>2 238</t>
  </si>
  <si>
    <t>2 494</t>
  </si>
  <si>
    <t>2 212</t>
  </si>
  <si>
    <t>1 874</t>
  </si>
  <si>
    <t>8 754</t>
  </si>
  <si>
    <t>8 827</t>
  </si>
  <si>
    <t>8 965</t>
  </si>
  <si>
    <t>9 257</t>
  </si>
  <si>
    <t>8 043</t>
  </si>
  <si>
    <t>4 641</t>
  </si>
  <si>
    <t>4 729</t>
  </si>
  <si>
    <t>5 289</t>
  </si>
  <si>
    <t>Minority Interest</t>
  </si>
  <si>
    <t>13 883</t>
  </si>
  <si>
    <t>14 599</t>
  </si>
  <si>
    <t>14 618</t>
  </si>
  <si>
    <t>15 305</t>
  </si>
  <si>
    <t>13 440</t>
  </si>
  <si>
    <t>7 224</t>
  </si>
  <si>
    <t>7 385</t>
  </si>
  <si>
    <t>7 954</t>
  </si>
  <si>
    <t>5 568</t>
  </si>
  <si>
    <t>5 373</t>
  </si>
  <si>
    <t>1 126</t>
  </si>
  <si>
    <t>6 797</t>
  </si>
  <si>
    <t>6 454</t>
  </si>
  <si>
    <t>7 519</t>
  </si>
  <si>
    <t>4 991</t>
  </si>
  <si>
    <t>4 580</t>
  </si>
  <si>
    <t>Cash Flow Statement</t>
  </si>
  <si>
    <t>1 214</t>
  </si>
  <si>
    <t>1 149</t>
  </si>
  <si>
    <t>1 375</t>
  </si>
  <si>
    <t>1 212</t>
  </si>
  <si>
    <t>(2 426)</t>
  </si>
  <si>
    <t>1 034</t>
  </si>
  <si>
    <t>2 818</t>
  </si>
  <si>
    <t>1 485</t>
  </si>
  <si>
    <t>3 193</t>
  </si>
  <si>
    <t>2 548</t>
  </si>
  <si>
    <t>1 190</t>
  </si>
  <si>
    <t>(1 005)</t>
  </si>
  <si>
    <t>(2 505)</t>
  </si>
  <si>
    <t>(1 251)</t>
  </si>
  <si>
    <t>(1 100)</t>
  </si>
  <si>
    <t>(2 273)</t>
  </si>
  <si>
    <t>(2 991)</t>
  </si>
  <si>
    <t>(2 963)</t>
  </si>
  <si>
    <t>(1 425)</t>
  </si>
  <si>
    <t>1 774</t>
  </si>
  <si>
    <t>(3 031)</t>
  </si>
  <si>
    <t>-1 737%</t>
  </si>
  <si>
    <t>2 110</t>
  </si>
  <si>
    <t>1 042</t>
  </si>
  <si>
    <t>(1 239)</t>
  </si>
  <si>
    <t>2 044</t>
  </si>
  <si>
    <t>Total Non Current Assets</t>
  </si>
  <si>
    <t>All figures in USD</t>
  </si>
  <si>
    <t>All figures in millions</t>
  </si>
  <si>
    <t>Value per Share in Euros</t>
  </si>
  <si>
    <t>Value per Share in USD</t>
  </si>
  <si>
    <t>All figures in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</si>
</sst>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#,##0.0"/>
    <numFmt numFmtId="166" formatCode="[$-409]mmm\-yy;@"/>
    <numFmt numFmtId="167" formatCode="#,##0.0;\(#,##0.0\);\-"/>
    <numFmt numFmtId="168" formatCode="0.000000000000000%"/>
    <numFmt numFmtId="169" formatCode="0.0"/>
    <numFmt numFmtId="170" formatCode="0.0\x"/>
    <numFmt numFmtId="171" formatCode="#,##0.0_);\(#,##0.0\)"/>
  </numFmts>
  <fonts count="41"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3333FF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rgb="FF22222F"/>
      <name val="Arial"/>
      <family val="2"/>
    </font>
    <font>
      <sz val="11"/>
      <color rgb="FF22222F"/>
      <name val="Calibri "/>
    </font>
    <font>
      <sz val="11"/>
      <color rgb="FF22222F"/>
      <name val="Calibri "/>
    </font>
    <font>
      <sz val="11"/>
      <name val="calibri"/>
      <family val="2"/>
    </font>
    <font>
      <b/>
      <sz val="11"/>
      <color rgb="FF0C6B58"/>
      <name val="calibri"/>
      <family val="2"/>
    </font>
    <font>
      <b/>
      <sz val="11"/>
      <color rgb="FFAD1D07"/>
      <name val="calibri"/>
      <family val="2"/>
    </font>
    <font>
      <sz val="14"/>
      <color theme="1"/>
      <name val="Helvetica Neue"/>
      <family val="2"/>
    </font>
    <font>
      <sz val="14"/>
      <color theme="1"/>
      <name val="Helvetica Neue"/>
      <family val="2"/>
    </font>
    <font>
      <b/>
      <sz val="14"/>
      <color rgb="FF0C6B58"/>
      <name val="Helvetica Neue"/>
      <family val="2"/>
    </font>
    <font>
      <b/>
      <sz val="14"/>
      <color rgb="FFAD1D07"/>
      <name val="Helvetica Neue"/>
      <family val="2"/>
    </font>
    <font>
      <sz val="11"/>
      <color rgb="FF606D7B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C6B58"/>
      <name val="Calibri"/>
      <family val="2"/>
      <scheme val="minor"/>
    </font>
    <font>
      <b/>
      <sz val="11"/>
      <color rgb="FFAD1D07"/>
      <name val="Calibri"/>
      <family val="2"/>
      <scheme val="minor"/>
    </font>
    <font>
      <b/>
      <sz val="12"/>
      <color rgb="FF002060"/>
      <name val="calibri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606D7B"/>
      <name val="Helvetica Neue"/>
      <family val="2"/>
    </font>
    <font>
      <i/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rgb="FF002060"/>
      </top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20" fillId="0" borderId="0"/>
    <xf numFmtId="0" fontId="12" fillId="0" borderId="0" applyNumberFormat="0" applyFill="0" applyBorder="0" applyAlignment="0" applyProtection="0"/>
  </cellStyleXfs>
  <cellXfs count="2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top"/>
    </xf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vertical="top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 vertical="top"/>
    </xf>
    <xf numFmtId="10" fontId="0" fillId="0" borderId="0" xfId="1" applyNumberFormat="1" applyFont="1"/>
    <xf numFmtId="10" fontId="6" fillId="0" borderId="0" xfId="0" applyNumberFormat="1" applyFont="1" applyAlignment="1">
      <alignment vertical="top"/>
    </xf>
    <xf numFmtId="10" fontId="0" fillId="0" borderId="0" xfId="0" applyNumberFormat="1"/>
    <xf numFmtId="0" fontId="1" fillId="0" borderId="3" xfId="0" applyFont="1" applyBorder="1"/>
    <xf numFmtId="10" fontId="0" fillId="0" borderId="3" xfId="1" applyNumberFormat="1" applyFont="1" applyBorder="1"/>
    <xf numFmtId="0" fontId="1" fillId="0" borderId="4" xfId="0" applyFont="1" applyBorder="1"/>
    <xf numFmtId="10" fontId="0" fillId="0" borderId="4" xfId="1" applyNumberFormat="1" applyFont="1" applyBorder="1"/>
    <xf numFmtId="10" fontId="0" fillId="4" borderId="0" xfId="1" applyNumberFormat="1" applyFont="1" applyFill="1" applyAlignment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5" xfId="0" applyBorder="1"/>
    <xf numFmtId="10" fontId="0" fillId="0" borderId="5" xfId="1" applyNumberFormat="1" applyFont="1" applyBorder="1"/>
    <xf numFmtId="10" fontId="0" fillId="0" borderId="5" xfId="0" applyNumberFormat="1" applyBorder="1"/>
    <xf numFmtId="10" fontId="0" fillId="4" borderId="0" xfId="0" applyNumberFormat="1" applyFill="1"/>
    <xf numFmtId="10" fontId="0" fillId="4" borderId="5" xfId="1" applyNumberFormat="1" applyFont="1" applyFill="1" applyBorder="1"/>
    <xf numFmtId="10" fontId="6" fillId="0" borderId="0" xfId="0" applyNumberFormat="1" applyFont="1"/>
    <xf numFmtId="10" fontId="0" fillId="0" borderId="0" xfId="1" applyNumberFormat="1" applyFont="1" applyBorder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5" fontId="6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5" borderId="0" xfId="0" applyFill="1"/>
    <xf numFmtId="2" fontId="0" fillId="5" borderId="0" xfId="0" applyNumberFormat="1" applyFill="1"/>
    <xf numFmtId="10" fontId="6" fillId="0" borderId="0" xfId="1" applyNumberFormat="1" applyFont="1"/>
    <xf numFmtId="0" fontId="9" fillId="2" borderId="0" xfId="0" applyFont="1" applyFill="1"/>
    <xf numFmtId="0" fontId="10" fillId="2" borderId="0" xfId="0" applyFont="1" applyFill="1"/>
    <xf numFmtId="10" fontId="0" fillId="0" borderId="0" xfId="0" applyNumberFormat="1" applyAlignment="1">
      <alignment horizontal="right"/>
    </xf>
    <xf numFmtId="0" fontId="1" fillId="4" borderId="0" xfId="0" applyFont="1" applyFill="1"/>
    <xf numFmtId="10" fontId="1" fillId="4" borderId="0" xfId="0" applyNumberFormat="1" applyFont="1" applyFill="1"/>
    <xf numFmtId="10" fontId="6" fillId="0" borderId="0" xfId="0" applyNumberFormat="1" applyFont="1" applyAlignment="1">
      <alignment horizontal="right"/>
    </xf>
    <xf numFmtId="2" fontId="0" fillId="4" borderId="0" xfId="0" applyNumberFormat="1" applyFill="1" applyAlignment="1">
      <alignment horizontal="right"/>
    </xf>
    <xf numFmtId="10" fontId="0" fillId="4" borderId="5" xfId="0" applyNumberFormat="1" applyFill="1" applyBorder="1"/>
    <xf numFmtId="10" fontId="0" fillId="0" borderId="0" xfId="1" applyNumberFormat="1" applyFont="1" applyFill="1" applyBorder="1"/>
    <xf numFmtId="0" fontId="1" fillId="5" borderId="0" xfId="0" applyFont="1" applyFill="1"/>
    <xf numFmtId="10" fontId="1" fillId="5" borderId="0" xfId="0" applyNumberFormat="1" applyFont="1" applyFill="1"/>
    <xf numFmtId="0" fontId="9" fillId="0" borderId="0" xfId="0" applyFont="1"/>
    <xf numFmtId="17" fontId="9" fillId="0" borderId="0" xfId="0" applyNumberFormat="1" applyFont="1"/>
    <xf numFmtId="164" fontId="14" fillId="0" borderId="0" xfId="2" applyFont="1" applyBorder="1"/>
    <xf numFmtId="164" fontId="16" fillId="0" borderId="0" xfId="2" applyFont="1" applyBorder="1"/>
    <xf numFmtId="0" fontId="16" fillId="0" borderId="0" xfId="5" applyFont="1"/>
    <xf numFmtId="166" fontId="18" fillId="7" borderId="0" xfId="2" applyNumberFormat="1" applyFont="1" applyFill="1" applyBorder="1"/>
    <xf numFmtId="166" fontId="18" fillId="7" borderId="0" xfId="5" applyNumberFormat="1" applyFont="1" applyFill="1" applyAlignment="1">
      <alignment horizontal="center"/>
    </xf>
    <xf numFmtId="166" fontId="19" fillId="0" borderId="0" xfId="2" applyNumberFormat="1" applyFont="1" applyFill="1" applyBorder="1"/>
    <xf numFmtId="0" fontId="13" fillId="0" borderId="0" xfId="5"/>
    <xf numFmtId="9" fontId="16" fillId="0" borderId="0" xfId="6" applyFont="1" applyBorder="1"/>
    <xf numFmtId="0" fontId="20" fillId="0" borderId="0" xfId="7"/>
    <xf numFmtId="43" fontId="16" fillId="0" borderId="0" xfId="2" applyNumberFormat="1" applyFont="1" applyBorder="1"/>
    <xf numFmtId="3" fontId="0" fillId="0" borderId="0" xfId="0" applyNumberFormat="1"/>
    <xf numFmtId="17" fontId="9" fillId="2" borderId="0" xfId="0" applyNumberFormat="1" applyFont="1" applyFill="1"/>
    <xf numFmtId="0" fontId="0" fillId="8" borderId="0" xfId="0" applyFill="1"/>
    <xf numFmtId="17" fontId="21" fillId="8" borderId="0" xfId="0" applyNumberFormat="1" applyFont="1" applyFill="1" applyAlignment="1">
      <alignment horizontal="right" vertical="center" wrapText="1" indent="1"/>
    </xf>
    <xf numFmtId="0" fontId="1" fillId="0" borderId="10" xfId="0" applyFont="1" applyBorder="1"/>
    <xf numFmtId="0" fontId="0" fillId="0" borderId="9" xfId="0" applyBorder="1"/>
    <xf numFmtId="167" fontId="0" fillId="0" borderId="9" xfId="0" applyNumberFormat="1" applyBorder="1"/>
    <xf numFmtId="167" fontId="0" fillId="0" borderId="0" xfId="0" applyNumberFormat="1"/>
    <xf numFmtId="167" fontId="1" fillId="0" borderId="0" xfId="0" applyNumberFormat="1" applyFont="1"/>
    <xf numFmtId="0" fontId="1" fillId="0" borderId="1" xfId="0" applyFont="1" applyBorder="1"/>
    <xf numFmtId="167" fontId="0" fillId="0" borderId="1" xfId="0" applyNumberFormat="1" applyBorder="1"/>
    <xf numFmtId="167" fontId="0" fillId="0" borderId="11" xfId="0" applyNumberFormat="1" applyBorder="1"/>
    <xf numFmtId="167" fontId="1" fillId="0" borderId="10" xfId="0" applyNumberFormat="1" applyFont="1" applyBorder="1"/>
    <xf numFmtId="0" fontId="1" fillId="0" borderId="12" xfId="0" applyFont="1" applyBorder="1"/>
    <xf numFmtId="0" fontId="0" fillId="0" borderId="12" xfId="0" applyBorder="1"/>
    <xf numFmtId="10" fontId="1" fillId="0" borderId="12" xfId="1" applyNumberFormat="1" applyFont="1" applyBorder="1"/>
    <xf numFmtId="0" fontId="22" fillId="8" borderId="0" xfId="0" applyFont="1" applyFill="1" applyAlignment="1">
      <alignment horizontal="left" vertical="center" indent="1"/>
    </xf>
    <xf numFmtId="0" fontId="22" fillId="8" borderId="0" xfId="0" applyFont="1" applyFill="1" applyAlignment="1">
      <alignment horizontal="right" vertical="center" wrapText="1" indent="1"/>
    </xf>
    <xf numFmtId="3" fontId="22" fillId="8" borderId="0" xfId="0" applyNumberFormat="1" applyFont="1" applyFill="1" applyAlignment="1">
      <alignment horizontal="right" vertical="center" wrapText="1" indent="1"/>
    </xf>
    <xf numFmtId="0" fontId="22" fillId="8" borderId="0" xfId="0" applyFont="1" applyFill="1" applyAlignment="1">
      <alignment horizontal="left" vertical="center"/>
    </xf>
    <xf numFmtId="0" fontId="23" fillId="8" borderId="0" xfId="0" applyFont="1" applyFill="1" applyAlignment="1">
      <alignment horizontal="left" vertical="center"/>
    </xf>
    <xf numFmtId="0" fontId="23" fillId="8" borderId="0" xfId="0" applyFont="1" applyFill="1" applyAlignment="1">
      <alignment horizontal="right" vertical="center" wrapText="1" indent="1"/>
    </xf>
    <xf numFmtId="3" fontId="23" fillId="8" borderId="0" xfId="0" applyNumberFormat="1" applyFont="1" applyFill="1" applyAlignment="1">
      <alignment horizontal="right" vertical="center" wrapText="1" indent="1"/>
    </xf>
    <xf numFmtId="0" fontId="22" fillId="8" borderId="0" xfId="0" applyFont="1" applyFill="1" applyAlignment="1">
      <alignment vertical="center"/>
    </xf>
    <xf numFmtId="168" fontId="0" fillId="0" borderId="0" xfId="0" applyNumberFormat="1"/>
    <xf numFmtId="167" fontId="1" fillId="0" borderId="1" xfId="0" applyNumberFormat="1" applyFont="1" applyBorder="1"/>
    <xf numFmtId="167" fontId="1" fillId="0" borderId="12" xfId="0" applyNumberFormat="1" applyFont="1" applyBorder="1"/>
    <xf numFmtId="10" fontId="6" fillId="0" borderId="9" xfId="0" applyNumberFormat="1" applyFont="1" applyBorder="1"/>
    <xf numFmtId="167" fontId="24" fillId="0" borderId="9" xfId="0" applyNumberFormat="1" applyFont="1" applyBorder="1"/>
    <xf numFmtId="10" fontId="0" fillId="0" borderId="9" xfId="0" applyNumberFormat="1" applyBorder="1"/>
    <xf numFmtId="10" fontId="1" fillId="0" borderId="12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64" fontId="1" fillId="0" borderId="12" xfId="0" applyNumberFormat="1" applyFont="1" applyBorder="1"/>
    <xf numFmtId="10" fontId="0" fillId="5" borderId="0" xfId="0" applyNumberFormat="1" applyFill="1"/>
    <xf numFmtId="169" fontId="0" fillId="0" borderId="0" xfId="0" applyNumberFormat="1"/>
    <xf numFmtId="0" fontId="9" fillId="2" borderId="0" xfId="0" applyFont="1" applyFill="1" applyAlignment="1">
      <alignment horizontal="center"/>
    </xf>
    <xf numFmtId="0" fontId="9" fillId="9" borderId="0" xfId="0" applyFont="1" applyFill="1"/>
    <xf numFmtId="49" fontId="5" fillId="0" borderId="0" xfId="8" applyNumberFormat="1" applyFont="1"/>
    <xf numFmtId="39" fontId="14" fillId="0" borderId="0" xfId="2" applyNumberFormat="1" applyFont="1" applyBorder="1"/>
    <xf numFmtId="39" fontId="16" fillId="0" borderId="0" xfId="2" applyNumberFormat="1" applyFont="1" applyBorder="1"/>
    <xf numFmtId="39" fontId="19" fillId="0" borderId="0" xfId="2" applyNumberFormat="1" applyFont="1" applyFill="1" applyBorder="1"/>
    <xf numFmtId="0" fontId="11" fillId="0" borderId="0" xfId="0" applyFont="1" applyAlignment="1">
      <alignment horizontal="centerContinuous"/>
    </xf>
    <xf numFmtId="9" fontId="0" fillId="0" borderId="0" xfId="1" applyFont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4" fontId="0" fillId="0" borderId="0" xfId="0" applyNumberFormat="1"/>
    <xf numFmtId="9" fontId="25" fillId="0" borderId="0" xfId="0" applyNumberFormat="1" applyFont="1"/>
    <xf numFmtId="9" fontId="26" fillId="0" borderId="0" xfId="0" applyNumberFormat="1" applyFont="1"/>
    <xf numFmtId="17" fontId="16" fillId="0" borderId="0" xfId="2" applyNumberFormat="1" applyFont="1" applyBorder="1"/>
    <xf numFmtId="164" fontId="14" fillId="10" borderId="0" xfId="2" applyFont="1" applyFill="1" applyBorder="1"/>
    <xf numFmtId="164" fontId="14" fillId="0" borderId="0" xfId="2" applyFont="1" applyFill="1" applyBorder="1"/>
    <xf numFmtId="9" fontId="29" fillId="0" borderId="0" xfId="0" applyNumberFormat="1" applyFont="1"/>
    <xf numFmtId="9" fontId="30" fillId="0" borderId="0" xfId="0" applyNumberFormat="1" applyFont="1"/>
    <xf numFmtId="0" fontId="28" fillId="0" borderId="0" xfId="0" applyFont="1"/>
    <xf numFmtId="0" fontId="13" fillId="0" borderId="0" xfId="0" applyFont="1"/>
    <xf numFmtId="0" fontId="31" fillId="0" borderId="0" xfId="0" applyFont="1"/>
    <xf numFmtId="0" fontId="32" fillId="0" borderId="0" xfId="0" applyFont="1"/>
    <xf numFmtId="39" fontId="13" fillId="0" borderId="0" xfId="2" applyNumberFormat="1" applyFont="1" applyBorder="1" applyAlignment="1">
      <alignment horizontal="right"/>
    </xf>
    <xf numFmtId="0" fontId="13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9" fontId="34" fillId="0" borderId="0" xfId="0" applyNumberFormat="1" applyFont="1" applyAlignment="1">
      <alignment horizontal="right"/>
    </xf>
    <xf numFmtId="9" fontId="35" fillId="0" borderId="0" xfId="0" applyNumberFormat="1" applyFont="1" applyAlignment="1">
      <alignment horizontal="right"/>
    </xf>
    <xf numFmtId="0" fontId="27" fillId="0" borderId="0" xfId="0" applyFont="1"/>
    <xf numFmtId="17" fontId="33" fillId="0" borderId="0" xfId="0" applyNumberFormat="1" applyFont="1"/>
    <xf numFmtId="0" fontId="34" fillId="0" borderId="0" xfId="0" applyFont="1" applyAlignment="1">
      <alignment horizontal="right"/>
    </xf>
    <xf numFmtId="39" fontId="14" fillId="11" borderId="0" xfId="2" applyNumberFormat="1" applyFont="1" applyFill="1" applyBorder="1"/>
    <xf numFmtId="164" fontId="18" fillId="0" borderId="0" xfId="4" applyNumberFormat="1" applyFont="1" applyFill="1" applyBorder="1" applyAlignment="1"/>
    <xf numFmtId="39" fontId="13" fillId="0" borderId="0" xfId="0" applyNumberFormat="1" applyFont="1" applyAlignment="1">
      <alignment horizontal="right"/>
    </xf>
    <xf numFmtId="39" fontId="31" fillId="0" borderId="0" xfId="0" applyNumberFormat="1" applyFont="1" applyAlignment="1">
      <alignment horizontal="right"/>
    </xf>
    <xf numFmtId="39" fontId="32" fillId="0" borderId="0" xfId="0" applyNumberFormat="1" applyFont="1" applyAlignment="1">
      <alignment horizontal="right"/>
    </xf>
    <xf numFmtId="39" fontId="34" fillId="0" borderId="0" xfId="0" applyNumberFormat="1" applyFont="1" applyAlignment="1">
      <alignment horizontal="right"/>
    </xf>
    <xf numFmtId="39" fontId="35" fillId="0" borderId="0" xfId="0" applyNumberFormat="1" applyFont="1" applyAlignment="1">
      <alignment horizontal="right"/>
    </xf>
    <xf numFmtId="169" fontId="0" fillId="0" borderId="9" xfId="0" applyNumberFormat="1" applyBorder="1" applyAlignment="1">
      <alignment horizontal="right"/>
    </xf>
    <xf numFmtId="169" fontId="0" fillId="0" borderId="9" xfId="0" applyNumberFormat="1" applyBorder="1" applyAlignment="1">
      <alignment horizontal="left"/>
    </xf>
    <xf numFmtId="0" fontId="13" fillId="0" borderId="9" xfId="0" applyFont="1" applyBorder="1"/>
    <xf numFmtId="0" fontId="31" fillId="0" borderId="9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1" fillId="0" borderId="0" xfId="0" applyFont="1"/>
    <xf numFmtId="0" fontId="36" fillId="0" borderId="2" xfId="0" applyFont="1" applyBorder="1"/>
    <xf numFmtId="0" fontId="0" fillId="0" borderId="2" xfId="0" applyBorder="1"/>
    <xf numFmtId="0" fontId="11" fillId="0" borderId="2" xfId="0" applyFont="1" applyBorder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right" wrapText="1"/>
    </xf>
    <xf numFmtId="0" fontId="9" fillId="2" borderId="0" xfId="0" applyFont="1" applyFill="1" applyAlignment="1">
      <alignment horizontal="right"/>
    </xf>
    <xf numFmtId="2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right"/>
    </xf>
    <xf numFmtId="0" fontId="24" fillId="5" borderId="9" xfId="0" applyFont="1" applyFill="1" applyBorder="1" applyAlignment="1">
      <alignment horizontal="left"/>
    </xf>
    <xf numFmtId="2" fontId="24" fillId="5" borderId="9" xfId="0" applyNumberFormat="1" applyFont="1" applyFill="1" applyBorder="1" applyAlignment="1">
      <alignment horizontal="left"/>
    </xf>
    <xf numFmtId="4" fontId="24" fillId="5" borderId="9" xfId="0" applyNumberFormat="1" applyFont="1" applyFill="1" applyBorder="1" applyAlignment="1">
      <alignment horizontal="right" wrapText="1"/>
    </xf>
    <xf numFmtId="2" fontId="24" fillId="5" borderId="9" xfId="0" applyNumberFormat="1" applyFont="1" applyFill="1" applyBorder="1" applyAlignment="1">
      <alignment horizontal="right" wrapText="1"/>
    </xf>
    <xf numFmtId="3" fontId="0" fillId="5" borderId="9" xfId="0" applyNumberFormat="1" applyFill="1" applyBorder="1" applyAlignment="1">
      <alignment horizontal="right"/>
    </xf>
    <xf numFmtId="3" fontId="24" fillId="5" borderId="9" xfId="0" applyNumberFormat="1" applyFont="1" applyFill="1" applyBorder="1" applyAlignment="1">
      <alignment horizontal="right" wrapText="1"/>
    </xf>
    <xf numFmtId="3" fontId="24" fillId="5" borderId="9" xfId="0" applyNumberFormat="1" applyFont="1" applyFill="1" applyBorder="1" applyAlignment="1">
      <alignment horizontal="right"/>
    </xf>
    <xf numFmtId="2" fontId="24" fillId="5" borderId="9" xfId="0" applyNumberFormat="1" applyFont="1" applyFill="1" applyBorder="1" applyAlignment="1">
      <alignment horizontal="right"/>
    </xf>
    <xf numFmtId="170" fontId="24" fillId="5" borderId="9" xfId="0" applyNumberFormat="1" applyFont="1" applyFill="1" applyBorder="1" applyAlignment="1">
      <alignment horizontal="right"/>
    </xf>
    <xf numFmtId="0" fontId="0" fillId="5" borderId="9" xfId="0" applyFill="1" applyBorder="1" applyAlignment="1">
      <alignment horizontal="left"/>
    </xf>
    <xf numFmtId="4" fontId="0" fillId="5" borderId="9" xfId="0" applyNumberFormat="1" applyFill="1" applyBorder="1" applyAlignment="1">
      <alignment horizontal="right" wrapText="1"/>
    </xf>
    <xf numFmtId="0" fontId="0" fillId="5" borderId="9" xfId="0" applyFill="1" applyBorder="1" applyAlignment="1">
      <alignment horizontal="right"/>
    </xf>
    <xf numFmtId="170" fontId="0" fillId="5" borderId="9" xfId="0" applyNumberFormat="1" applyFill="1" applyBorder="1" applyAlignment="1">
      <alignment horizontal="right"/>
    </xf>
    <xf numFmtId="0" fontId="0" fillId="0" borderId="9" xfId="0" applyBorder="1" applyAlignment="1">
      <alignment horizontal="left"/>
    </xf>
    <xf numFmtId="2" fontId="0" fillId="0" borderId="9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170" fontId="24" fillId="0" borderId="9" xfId="0" applyNumberFormat="1" applyFont="1" applyBorder="1" applyAlignment="1">
      <alignment horizontal="right"/>
    </xf>
    <xf numFmtId="0" fontId="0" fillId="5" borderId="9" xfId="0" applyFill="1" applyBorder="1"/>
    <xf numFmtId="170" fontId="0" fillId="5" borderId="9" xfId="0" applyNumberFormat="1" applyFill="1" applyBorder="1"/>
    <xf numFmtId="0" fontId="1" fillId="5" borderId="9" xfId="0" applyFont="1" applyFill="1" applyBorder="1"/>
    <xf numFmtId="170" fontId="1" fillId="5" borderId="9" xfId="0" applyNumberFormat="1" applyFont="1" applyFill="1" applyBorder="1"/>
    <xf numFmtId="0" fontId="9" fillId="2" borderId="2" xfId="0" applyFont="1" applyFill="1" applyBorder="1"/>
    <xf numFmtId="3" fontId="0" fillId="0" borderId="9" xfId="0" applyNumberFormat="1" applyBorder="1"/>
    <xf numFmtId="2" fontId="0" fillId="0" borderId="9" xfId="0" applyNumberFormat="1" applyBorder="1"/>
    <xf numFmtId="0" fontId="1" fillId="5" borderId="10" xfId="0" applyFont="1" applyFill="1" applyBorder="1"/>
    <xf numFmtId="165" fontId="1" fillId="5" borderId="10" xfId="0" applyNumberFormat="1" applyFont="1" applyFill="1" applyBorder="1"/>
    <xf numFmtId="165" fontId="1" fillId="0" borderId="0" xfId="0" applyNumberFormat="1" applyFont="1"/>
    <xf numFmtId="2" fontId="24" fillId="0" borderId="9" xfId="0" applyNumberFormat="1" applyFont="1" applyBorder="1" applyAlignment="1">
      <alignment horizontal="right" wrapText="1"/>
    </xf>
    <xf numFmtId="37" fontId="0" fillId="0" borderId="9" xfId="0" applyNumberFormat="1" applyBorder="1"/>
    <xf numFmtId="0" fontId="37" fillId="0" borderId="0" xfId="0" applyFont="1"/>
    <xf numFmtId="17" fontId="37" fillId="0" borderId="0" xfId="0" applyNumberFormat="1" applyFont="1"/>
    <xf numFmtId="0" fontId="38" fillId="0" borderId="0" xfId="0" applyFont="1"/>
    <xf numFmtId="0" fontId="39" fillId="0" borderId="0" xfId="0" applyFont="1"/>
    <xf numFmtId="0" fontId="30" fillId="0" borderId="0" xfId="0" applyFont="1"/>
    <xf numFmtId="2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1" xfId="0" applyBorder="1"/>
    <xf numFmtId="0" fontId="1" fillId="0" borderId="14" xfId="0" applyFont="1" applyBorder="1"/>
    <xf numFmtId="0" fontId="0" fillId="0" borderId="14" xfId="0" applyBorder="1"/>
    <xf numFmtId="169" fontId="0" fillId="0" borderId="9" xfId="0" applyNumberFormat="1" applyBorder="1"/>
    <xf numFmtId="169" fontId="0" fillId="0" borderId="11" xfId="0" applyNumberFormat="1" applyBorder="1"/>
    <xf numFmtId="169" fontId="0" fillId="0" borderId="11" xfId="0" applyNumberFormat="1" applyBorder="1" applyAlignment="1">
      <alignment horizontal="right"/>
    </xf>
    <xf numFmtId="169" fontId="1" fillId="0" borderId="14" xfId="0" applyNumberFormat="1" applyFont="1" applyBorder="1"/>
    <xf numFmtId="169" fontId="1" fillId="0" borderId="1" xfId="0" applyNumberFormat="1" applyFont="1" applyBorder="1"/>
    <xf numFmtId="169" fontId="13" fillId="0" borderId="9" xfId="0" applyNumberFormat="1" applyFont="1" applyBorder="1" applyAlignment="1">
      <alignment horizontal="right"/>
    </xf>
    <xf numFmtId="0" fontId="13" fillId="0" borderId="11" xfId="0" applyFont="1" applyBorder="1"/>
    <xf numFmtId="169" fontId="13" fillId="0" borderId="11" xfId="0" applyNumberFormat="1" applyFont="1" applyBorder="1" applyAlignment="1">
      <alignment horizontal="right"/>
    </xf>
    <xf numFmtId="169" fontId="1" fillId="0" borderId="14" xfId="0" applyNumberFormat="1" applyFont="1" applyBorder="1" applyAlignment="1">
      <alignment horizontal="right"/>
    </xf>
    <xf numFmtId="171" fontId="33" fillId="0" borderId="0" xfId="0" applyNumberFormat="1" applyFont="1" applyAlignment="1">
      <alignment horizontal="right"/>
    </xf>
    <xf numFmtId="169" fontId="13" fillId="0" borderId="0" xfId="0" applyNumberFormat="1" applyFont="1" applyAlignment="1">
      <alignment horizontal="right"/>
    </xf>
    <xf numFmtId="169" fontId="27" fillId="0" borderId="0" xfId="0" applyNumberFormat="1" applyFont="1"/>
    <xf numFmtId="169" fontId="39" fillId="0" borderId="0" xfId="0" applyNumberFormat="1" applyFont="1"/>
    <xf numFmtId="169" fontId="1" fillId="5" borderId="0" xfId="0" applyNumberFormat="1" applyFont="1" applyFill="1"/>
    <xf numFmtId="0" fontId="40" fillId="0" borderId="0" xfId="0" applyFont="1"/>
    <xf numFmtId="0" fontId="9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164" fontId="15" fillId="0" borderId="0" xfId="3" applyNumberFormat="1" applyFont="1" applyBorder="1" applyAlignment="1" applyProtection="1">
      <alignment horizontal="center"/>
    </xf>
    <xf numFmtId="0" fontId="38" fillId="0" borderId="0" xfId="0" applyFont="1"/>
    <xf numFmtId="0" fontId="27" fillId="0" borderId="0" xfId="0" applyFont="1"/>
  </cellXfs>
  <cellStyles count="9">
    <cellStyle name="Accent6 2" xfId="4" xr:uid="{C4E8E0CB-FE77-482F-93E0-B2E0584F0368}"/>
    <cellStyle name="Comma 2" xfId="2" xr:uid="{1A7DFA1D-C51A-40CE-910E-8390CF1EC924}"/>
    <cellStyle name="Hyperlink" xfId="8" builtinId="8"/>
    <cellStyle name="Hyperlink 2" xfId="3" xr:uid="{C7BBB295-D97F-41F6-AD82-25BFD9046B13}"/>
    <cellStyle name="Normal" xfId="0" builtinId="0"/>
    <cellStyle name="Normal 2" xfId="7" xr:uid="{633D282F-8662-4C6C-BDD9-AD052BE7F2A5}"/>
    <cellStyle name="Normal 3" xfId="5" xr:uid="{EAECDA40-276A-48EF-BFC3-4D8D193BC9C6}"/>
    <cellStyle name="Per cent" xfId="1" builtinId="5"/>
    <cellStyle name="Percent 3" xfId="6" xr:uid="{43F4A9DE-7E1B-4A43-8A65-13C050C61561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36D2-3AA4-044E-80FF-638E4C7F34FC}">
  <sheetPr>
    <tabColor theme="8" tint="0.39997558519241921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C7D7-B685-C147-A26F-BFDDC9319B0D}">
  <dimension ref="B2:K45"/>
  <sheetViews>
    <sheetView showGridLines="0" topLeftCell="A21" workbookViewId="0">
      <selection activeCell="C3" sqref="C3"/>
    </sheetView>
  </sheetViews>
  <sheetFormatPr baseColWidth="10" defaultRowHeight="15"/>
  <cols>
    <col min="1" max="1" width="2" customWidth="1"/>
  </cols>
  <sheetData>
    <row r="2" spans="2:11">
      <c r="B2" s="29" t="s">
        <v>693</v>
      </c>
    </row>
    <row r="3" spans="2:11">
      <c r="B3" s="29" t="s">
        <v>690</v>
      </c>
    </row>
    <row r="4" spans="2:11">
      <c r="F4">
        <v>0</v>
      </c>
      <c r="G4">
        <v>0.5</v>
      </c>
      <c r="H4">
        <v>1.5</v>
      </c>
      <c r="I4">
        <v>2.5</v>
      </c>
      <c r="J4">
        <v>3.5</v>
      </c>
      <c r="K4">
        <v>4.5</v>
      </c>
    </row>
    <row r="5" spans="2:11">
      <c r="B5" s="43" t="s">
        <v>219</v>
      </c>
      <c r="C5" s="44"/>
      <c r="D5" s="44"/>
      <c r="E5" s="44"/>
      <c r="F5" s="67">
        <v>45047</v>
      </c>
      <c r="G5" s="67">
        <f>F5+366</f>
        <v>45413</v>
      </c>
      <c r="H5" s="67">
        <f t="shared" ref="H5:J5" si="0">G5+365</f>
        <v>45778</v>
      </c>
      <c r="I5" s="67">
        <f t="shared" si="0"/>
        <v>46143</v>
      </c>
      <c r="J5" s="67">
        <f t="shared" si="0"/>
        <v>46508</v>
      </c>
      <c r="K5" s="67">
        <f>J5+366</f>
        <v>46874</v>
      </c>
    </row>
    <row r="7" spans="2:11">
      <c r="B7" t="s">
        <v>174</v>
      </c>
      <c r="F7" s="97">
        <f>'Intrisic Growth_ADS'!K38</f>
        <v>287</v>
      </c>
      <c r="G7" s="97">
        <f>F7*(1+$E$21)</f>
        <v>289.40202597593043</v>
      </c>
      <c r="H7" s="97">
        <f t="shared" ref="H7:K7" si="1">G7*(1+$E$21)</f>
        <v>291.82415553649167</v>
      </c>
      <c r="I7" s="97">
        <f t="shared" si="1"/>
        <v>294.26655693719761</v>
      </c>
      <c r="J7" s="97">
        <f t="shared" si="1"/>
        <v>296.72939984176469</v>
      </c>
      <c r="K7" s="97">
        <f t="shared" si="1"/>
        <v>299.21285533389766</v>
      </c>
    </row>
    <row r="9" spans="2:11">
      <c r="B9" t="s">
        <v>22</v>
      </c>
      <c r="F9" s="14">
        <v>0.15</v>
      </c>
      <c r="G9" s="14">
        <f>F9</f>
        <v>0.15</v>
      </c>
      <c r="H9" s="14">
        <f t="shared" ref="H9:K9" si="2">G9</f>
        <v>0.15</v>
      </c>
      <c r="I9" s="14">
        <f t="shared" si="2"/>
        <v>0.15</v>
      </c>
      <c r="J9" s="14">
        <f t="shared" si="2"/>
        <v>0.15</v>
      </c>
      <c r="K9" s="14">
        <f t="shared" si="2"/>
        <v>0.15</v>
      </c>
    </row>
    <row r="11" spans="2:11">
      <c r="B11" t="s">
        <v>210</v>
      </c>
      <c r="F11" s="97">
        <f>F7*(1-F9)</f>
        <v>243.95</v>
      </c>
      <c r="G11" s="97">
        <f t="shared" ref="G11:K11" si="3">G7*(1-G9)</f>
        <v>245.99172207954086</v>
      </c>
      <c r="H11" s="97">
        <f t="shared" si="3"/>
        <v>248.05053220601792</v>
      </c>
      <c r="I11" s="97">
        <f t="shared" si="3"/>
        <v>250.12657339661797</v>
      </c>
      <c r="J11" s="97">
        <f t="shared" si="3"/>
        <v>252.21998986549997</v>
      </c>
      <c r="K11" s="97">
        <f t="shared" si="3"/>
        <v>254.330927033813</v>
      </c>
    </row>
    <row r="13" spans="2:11">
      <c r="B13" t="s">
        <v>211</v>
      </c>
      <c r="F13" s="14">
        <f>AVERAGE('Intrisic Growth'!K54,'Intrisic Growth'!K55)</f>
        <v>0.61068411462919125</v>
      </c>
      <c r="G13" s="14">
        <f>F13</f>
        <v>0.61068411462919125</v>
      </c>
      <c r="H13" s="14">
        <f t="shared" ref="H13:K13" si="4">G13</f>
        <v>0.61068411462919125</v>
      </c>
      <c r="I13" s="14">
        <f t="shared" si="4"/>
        <v>0.61068411462919125</v>
      </c>
      <c r="J13" s="14">
        <f t="shared" si="4"/>
        <v>0.61068411462919125</v>
      </c>
      <c r="K13" s="14">
        <f t="shared" si="4"/>
        <v>0.61068411462919125</v>
      </c>
    </row>
    <row r="15" spans="2:11" ht="16" thickBot="1">
      <c r="B15" s="79" t="s">
        <v>212</v>
      </c>
      <c r="C15" s="79"/>
      <c r="D15" s="79"/>
      <c r="E15" s="79"/>
      <c r="F15" s="99">
        <f>F11*(1-F13)</f>
        <v>94.973610236208785</v>
      </c>
      <c r="G15" s="99">
        <f t="shared" ref="G15:K15" si="5">G11*(1-G13)</f>
        <v>95.768485075286378</v>
      </c>
      <c r="H15" s="99">
        <f t="shared" si="5"/>
        <v>96.57001256248617</v>
      </c>
      <c r="I15" s="99">
        <f t="shared" si="5"/>
        <v>97.378248376670896</v>
      </c>
      <c r="J15" s="99">
        <f t="shared" si="5"/>
        <v>98.193248662703525</v>
      </c>
      <c r="K15" s="99">
        <f t="shared" si="5"/>
        <v>99.015070035347463</v>
      </c>
    </row>
    <row r="17" spans="2:11">
      <c r="B17" t="s">
        <v>220</v>
      </c>
      <c r="F17" s="8">
        <f>1/(1+$E$27)^F4</f>
        <v>1</v>
      </c>
      <c r="G17" s="8">
        <f>1/(1+$E$27)^G4</f>
        <v>9.9580766375134966E-2</v>
      </c>
      <c r="H17" s="8">
        <f t="shared" ref="H17:K17" si="6">1/(1+$E$27)^H4</f>
        <v>9.8747564462054013E-4</v>
      </c>
      <c r="I17" s="8">
        <f t="shared" si="6"/>
        <v>9.7921334030045604E-6</v>
      </c>
      <c r="J17" s="8">
        <f t="shared" si="6"/>
        <v>9.710201674805238E-8</v>
      </c>
      <c r="K17" s="8">
        <f t="shared" si="6"/>
        <v>9.628955477307922E-10</v>
      </c>
    </row>
    <row r="19" spans="2:11" ht="16" thickBot="1">
      <c r="B19" s="79" t="s">
        <v>221</v>
      </c>
      <c r="C19" s="79"/>
      <c r="D19" s="79"/>
      <c r="E19" s="79"/>
      <c r="F19" s="99">
        <f>F17*F15</f>
        <v>94.973610236208785</v>
      </c>
      <c r="G19" s="99">
        <f t="shared" ref="G19:K19" si="7">G17*G15</f>
        <v>9.5366991383826925</v>
      </c>
      <c r="H19" s="99">
        <f t="shared" si="7"/>
        <v>9.5360535406154689E-2</v>
      </c>
      <c r="I19" s="99">
        <f t="shared" si="7"/>
        <v>9.5354079865527365E-4</v>
      </c>
      <c r="J19" s="99">
        <f t="shared" si="7"/>
        <v>9.5347624761915095E-6</v>
      </c>
      <c r="K19" s="99">
        <f t="shared" si="7"/>
        <v>9.534117009528864E-8</v>
      </c>
    </row>
    <row r="21" spans="2:11">
      <c r="B21" s="40" t="s">
        <v>213</v>
      </c>
      <c r="C21" s="40"/>
      <c r="D21" s="100"/>
      <c r="E21" s="100">
        <f>AVERAGE('Intrisic Growth_ADS'!K66,'Intrisic Growth_ADS'!K67)</f>
        <v>8.3694284875624001E-3</v>
      </c>
    </row>
    <row r="22" spans="2:11">
      <c r="B22" s="40" t="s">
        <v>214</v>
      </c>
      <c r="C22" s="40"/>
      <c r="D22" s="100"/>
      <c r="E22" s="100">
        <v>5.0000000000000001E-3</v>
      </c>
    </row>
    <row r="25" spans="2:11">
      <c r="B25" s="43" t="s">
        <v>215</v>
      </c>
      <c r="C25" s="44"/>
      <c r="D25" s="44"/>
      <c r="E25" s="44"/>
    </row>
    <row r="27" spans="2:11">
      <c r="B27" t="s">
        <v>216</v>
      </c>
      <c r="E27" s="97">
        <f>K15*(1+E21)</f>
        <v>99.84376958319929</v>
      </c>
    </row>
    <row r="28" spans="2:11">
      <c r="B28" t="s">
        <v>72</v>
      </c>
      <c r="E28" s="14">
        <f>WACC_ADS!J49</f>
        <v>5.0518359999999998E-2</v>
      </c>
    </row>
    <row r="29" spans="2:11">
      <c r="B29" t="s">
        <v>217</v>
      </c>
      <c r="E29" s="14">
        <f>E22</f>
        <v>5.0000000000000001E-3</v>
      </c>
    </row>
    <row r="31" spans="2:11" ht="16" thickBot="1">
      <c r="B31" s="79" t="s">
        <v>218</v>
      </c>
      <c r="C31" s="79"/>
      <c r="D31" s="79"/>
      <c r="E31" s="79">
        <f>E27/(E28-E29)</f>
        <v>2193.483455537486</v>
      </c>
    </row>
    <row r="34" spans="2:11">
      <c r="B34" s="43" t="s">
        <v>222</v>
      </c>
      <c r="C34" s="44"/>
      <c r="D34" s="44"/>
      <c r="E34" s="44"/>
    </row>
    <row r="35" spans="2:11">
      <c r="K35" s="12"/>
    </row>
    <row r="36" spans="2:11">
      <c r="B36" t="s">
        <v>221</v>
      </c>
      <c r="E36" s="97">
        <f>SUM(G19:K19)</f>
        <v>9.6330228446911477</v>
      </c>
      <c r="K36" s="109"/>
    </row>
    <row r="37" spans="2:11">
      <c r="B37" t="s">
        <v>223</v>
      </c>
      <c r="E37" s="101">
        <f>E31*K17</f>
        <v>2.1120954533581984E-6</v>
      </c>
    </row>
    <row r="38" spans="2:11">
      <c r="B38" s="1" t="s">
        <v>224</v>
      </c>
      <c r="C38" s="1"/>
      <c r="D38" s="1"/>
      <c r="E38" s="98">
        <f>SUM(E36:E37)</f>
        <v>9.6330249567866009</v>
      </c>
    </row>
    <row r="40" spans="2:11">
      <c r="B40" t="s">
        <v>225</v>
      </c>
      <c r="E40">
        <f>'Data Sheet_ADS'!AL8</f>
        <v>1431</v>
      </c>
    </row>
    <row r="41" spans="2:11">
      <c r="B41" t="s">
        <v>226</v>
      </c>
      <c r="E41">
        <f>SUM('Data Sheet_ADS'!AL30,'Data Sheet_ADS'!AL34)</f>
        <v>4469</v>
      </c>
    </row>
    <row r="42" spans="2:11">
      <c r="B42" s="1" t="s">
        <v>227</v>
      </c>
      <c r="C42" s="1"/>
      <c r="D42" s="1"/>
      <c r="E42" s="98">
        <f>E38+E40-E41</f>
        <v>-3028.3669750432136</v>
      </c>
    </row>
    <row r="43" spans="2:11">
      <c r="B43" t="s">
        <v>228</v>
      </c>
      <c r="E43" s="97">
        <f>'Data Sheet_ADS'!AL49</f>
        <v>179</v>
      </c>
    </row>
    <row r="44" spans="2:11">
      <c r="B44" s="52" t="s">
        <v>691</v>
      </c>
      <c r="C44" s="52"/>
      <c r="D44" s="52"/>
      <c r="E44" s="210">
        <f>E42/E43</f>
        <v>-16.918251257224657</v>
      </c>
    </row>
    <row r="45" spans="2:11">
      <c r="B45" s="52" t="s">
        <v>692</v>
      </c>
      <c r="C45" s="52"/>
      <c r="D45" s="52"/>
      <c r="E45" s="52">
        <v>-18.07</v>
      </c>
    </row>
  </sheetData>
  <pageMargins left="0.7" right="0.7" top="0.75" bottom="0.75" header="0.3" footer="0.3"/>
  <pageSetup paperSize="8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A9BF-BB6A-2241-86BD-DDB2022B3E20}">
  <sheetPr>
    <tabColor theme="9" tint="0.59999389629810485"/>
  </sheetPr>
  <dimension ref="B2:Q46"/>
  <sheetViews>
    <sheetView showGridLines="0" topLeftCell="H1" zoomScale="118" zoomScaleNormal="118" workbookViewId="0">
      <selection activeCell="S6" sqref="S6"/>
    </sheetView>
  </sheetViews>
  <sheetFormatPr baseColWidth="10" defaultColWidth="8.83203125" defaultRowHeight="15"/>
  <cols>
    <col min="1" max="1" width="1.83203125" customWidth="1"/>
    <col min="2" max="2" width="34" bestFit="1" customWidth="1"/>
    <col min="3" max="3" width="14.83203125" bestFit="1" customWidth="1"/>
    <col min="5" max="5" width="13.83203125" customWidth="1"/>
    <col min="6" max="8" width="11" customWidth="1"/>
    <col min="10" max="10" width="1.83203125" customWidth="1"/>
    <col min="13" max="13" width="13.1640625" bestFit="1" customWidth="1"/>
    <col min="14" max="14" width="1.83203125" customWidth="1"/>
    <col min="15" max="15" width="12.33203125" bestFit="1" customWidth="1"/>
    <col min="16" max="17" width="12.5" bestFit="1" customWidth="1"/>
  </cols>
  <sheetData>
    <row r="2" spans="2:17">
      <c r="B2" s="147" t="s">
        <v>526</v>
      </c>
    </row>
    <row r="3" spans="2:17" ht="16">
      <c r="B3" s="148" t="s">
        <v>494</v>
      </c>
      <c r="C3" s="149"/>
      <c r="D3" s="150"/>
      <c r="E3" s="149"/>
      <c r="F3" s="149"/>
      <c r="G3" s="149"/>
      <c r="H3" s="149"/>
      <c r="I3" s="149"/>
      <c r="J3" s="149"/>
      <c r="K3" s="149"/>
      <c r="L3" s="20"/>
      <c r="M3" s="20"/>
      <c r="N3" s="20"/>
      <c r="O3" s="20"/>
      <c r="P3" s="20"/>
      <c r="Q3" s="20"/>
    </row>
    <row r="4" spans="2:17" ht="4.5" customHeight="1"/>
    <row r="5" spans="2:17">
      <c r="B5" s="43"/>
      <c r="C5" s="43"/>
      <c r="D5" s="213" t="s">
        <v>495</v>
      </c>
      <c r="E5" s="213"/>
      <c r="F5" s="213"/>
      <c r="G5" s="213"/>
      <c r="H5" s="213"/>
      <c r="I5" s="213"/>
      <c r="J5" s="43"/>
      <c r="K5" s="213" t="s">
        <v>496</v>
      </c>
      <c r="L5" s="213"/>
      <c r="M5" s="213"/>
      <c r="N5" s="43"/>
      <c r="O5" s="213" t="s">
        <v>497</v>
      </c>
      <c r="P5" s="213"/>
      <c r="Q5" s="213"/>
    </row>
    <row r="6" spans="2:17" ht="32">
      <c r="B6" s="151" t="s">
        <v>498</v>
      </c>
      <c r="C6" s="151" t="s">
        <v>499</v>
      </c>
      <c r="D6" s="152" t="s">
        <v>500</v>
      </c>
      <c r="E6" s="152" t="s">
        <v>501</v>
      </c>
      <c r="F6" s="152" t="s">
        <v>502</v>
      </c>
      <c r="G6" s="152" t="s">
        <v>503</v>
      </c>
      <c r="H6" s="152" t="s">
        <v>504</v>
      </c>
      <c r="I6" s="152"/>
      <c r="J6" s="153"/>
      <c r="K6" s="153" t="s">
        <v>240</v>
      </c>
      <c r="L6" s="153" t="s">
        <v>76</v>
      </c>
      <c r="M6" s="153" t="s">
        <v>430</v>
      </c>
      <c r="N6" s="153"/>
      <c r="O6" s="153" t="s">
        <v>505</v>
      </c>
      <c r="P6" s="153" t="s">
        <v>506</v>
      </c>
      <c r="Q6" s="153" t="s">
        <v>507</v>
      </c>
    </row>
    <row r="7" spans="2:17" s="8" customFormat="1" ht="4.5" customHeight="1">
      <c r="B7" s="154"/>
      <c r="C7" s="154"/>
      <c r="D7" s="155"/>
      <c r="E7" s="155"/>
      <c r="F7" s="155"/>
      <c r="G7" s="155"/>
      <c r="H7" s="155"/>
      <c r="I7" s="155"/>
      <c r="J7" s="156"/>
      <c r="K7" s="156"/>
      <c r="L7" s="156"/>
      <c r="M7" s="156"/>
      <c r="N7" s="156"/>
      <c r="O7" s="156"/>
      <c r="P7" s="156"/>
      <c r="Q7" s="156"/>
    </row>
    <row r="8" spans="2:17" s="8" customFormat="1">
      <c r="B8" s="157" t="s">
        <v>230</v>
      </c>
      <c r="C8" s="158" t="s">
        <v>508</v>
      </c>
      <c r="D8" s="159">
        <v>95.94</v>
      </c>
      <c r="E8" s="160">
        <f t="shared" ref="E8:E15" si="0">F8/D8</f>
        <v>145.96622889305817</v>
      </c>
      <c r="F8" s="161">
        <v>14004</v>
      </c>
      <c r="G8" s="161">
        <v>8927</v>
      </c>
      <c r="H8" s="161">
        <f>F8+G8</f>
        <v>22931</v>
      </c>
      <c r="I8" s="162"/>
      <c r="J8" s="163"/>
      <c r="K8" s="163">
        <v>51217</v>
      </c>
      <c r="L8" s="163">
        <v>6860</v>
      </c>
      <c r="M8" s="163">
        <v>5070</v>
      </c>
      <c r="N8" s="164"/>
      <c r="O8" s="165">
        <f>$H8/K8</f>
        <v>0.44772243590995175</v>
      </c>
      <c r="P8" s="165">
        <f t="shared" ref="P8:P15" si="1">$H8/L8</f>
        <v>3.3427113702623905</v>
      </c>
      <c r="Q8" s="165">
        <f>F8/M8</f>
        <v>2.7621301775147931</v>
      </c>
    </row>
    <row r="9" spans="2:17">
      <c r="B9" s="166" t="s">
        <v>231</v>
      </c>
      <c r="C9" s="166" t="s">
        <v>509</v>
      </c>
      <c r="D9" s="167">
        <v>233.04</v>
      </c>
      <c r="E9" s="160">
        <f t="shared" si="0"/>
        <v>21.014246481290765</v>
      </c>
      <c r="F9" s="161">
        <v>4897.16</v>
      </c>
      <c r="G9" s="161">
        <v>2598.2800000000002</v>
      </c>
      <c r="H9" s="161">
        <f t="shared" ref="H9:H15" si="2">F9+G9</f>
        <v>7495.4400000000005</v>
      </c>
      <c r="I9" s="161"/>
      <c r="J9" s="161"/>
      <c r="K9" s="161">
        <v>21427</v>
      </c>
      <c r="L9" s="161">
        <v>969.55</v>
      </c>
      <c r="M9" s="161">
        <v>-15</v>
      </c>
      <c r="N9" s="168"/>
      <c r="O9" s="169">
        <f t="shared" ref="O9:O15" si="3">$H9/K9</f>
        <v>0.34981285294254916</v>
      </c>
      <c r="P9" s="169">
        <f t="shared" si="1"/>
        <v>7.730844206074984</v>
      </c>
      <c r="Q9" s="169">
        <f t="shared" ref="Q9:Q15" si="4">F9/M9</f>
        <v>-326.47733333333332</v>
      </c>
    </row>
    <row r="10" spans="2:17">
      <c r="B10" s="170" t="s">
        <v>232</v>
      </c>
      <c r="C10" s="170" t="s">
        <v>510</v>
      </c>
      <c r="D10" s="159">
        <v>7.02</v>
      </c>
      <c r="E10" s="185">
        <f t="shared" si="0"/>
        <v>306.6951566951567</v>
      </c>
      <c r="F10" s="172">
        <v>2153</v>
      </c>
      <c r="G10" s="172">
        <f>594873000/1000000</f>
        <v>594.87300000000005</v>
      </c>
      <c r="H10" s="161">
        <f t="shared" si="2"/>
        <v>2747.873</v>
      </c>
      <c r="I10" s="172"/>
      <c r="J10" s="172"/>
      <c r="K10" s="172">
        <f>5701879000/1000000</f>
        <v>5701.8789999999999</v>
      </c>
      <c r="L10" s="172">
        <v>378.54</v>
      </c>
      <c r="M10" s="172">
        <v>232</v>
      </c>
      <c r="N10" s="173"/>
      <c r="O10" s="174">
        <f t="shared" si="3"/>
        <v>0.48192411659384565</v>
      </c>
      <c r="P10" s="174">
        <f t="shared" si="1"/>
        <v>7.2591350980081364</v>
      </c>
      <c r="Q10" s="174">
        <f t="shared" si="4"/>
        <v>9.2801724137931032</v>
      </c>
    </row>
    <row r="11" spans="2:17">
      <c r="B11" s="170" t="s">
        <v>233</v>
      </c>
      <c r="C11" s="170" t="s">
        <v>511</v>
      </c>
      <c r="D11" s="159">
        <v>72.41</v>
      </c>
      <c r="E11" s="185">
        <f t="shared" si="0"/>
        <v>60.765667725452296</v>
      </c>
      <c r="F11" s="172">
        <f>4400042000/1000000</f>
        <v>4400.0420000000004</v>
      </c>
      <c r="G11" s="172">
        <f>242944000/1000000</f>
        <v>242.94399999999999</v>
      </c>
      <c r="H11" s="161">
        <f t="shared" si="2"/>
        <v>4642.9860000000008</v>
      </c>
      <c r="I11" s="172"/>
      <c r="J11" s="172"/>
      <c r="K11" s="172">
        <f>8000342000/1000000</f>
        <v>8000.3419999999996</v>
      </c>
      <c r="L11" s="172">
        <v>1050</v>
      </c>
      <c r="M11" s="172">
        <f>545799000/1000000</f>
        <v>545.79899999999998</v>
      </c>
      <c r="N11" s="173"/>
      <c r="O11" s="174">
        <f t="shared" si="3"/>
        <v>0.58034844010418563</v>
      </c>
      <c r="P11" s="174">
        <f t="shared" si="1"/>
        <v>4.4218914285714295</v>
      </c>
      <c r="Q11" s="174">
        <f t="shared" si="4"/>
        <v>8.0616527329658005</v>
      </c>
    </row>
    <row r="12" spans="2:17">
      <c r="B12" s="170" t="s">
        <v>234</v>
      </c>
      <c r="C12" s="170" t="s">
        <v>512</v>
      </c>
      <c r="D12" s="159">
        <v>4.7300000000000004</v>
      </c>
      <c r="E12" s="185">
        <f t="shared" si="0"/>
        <v>625.09302325581393</v>
      </c>
      <c r="F12" s="172">
        <v>2956.69</v>
      </c>
      <c r="G12" s="172">
        <f>233856865.96/1000000</f>
        <v>233.85686596000002</v>
      </c>
      <c r="H12" s="161">
        <f t="shared" si="2"/>
        <v>3190.5468659600001</v>
      </c>
      <c r="I12" s="172"/>
      <c r="J12" s="172"/>
      <c r="K12" s="172">
        <v>9197.3700000000008</v>
      </c>
      <c r="L12" s="172">
        <v>793.29</v>
      </c>
      <c r="M12" s="172">
        <v>294.10000000000002</v>
      </c>
      <c r="N12" s="173"/>
      <c r="O12" s="174">
        <f t="shared" si="3"/>
        <v>0.34689773989303463</v>
      </c>
      <c r="P12" s="174">
        <f t="shared" si="1"/>
        <v>4.021917414766353</v>
      </c>
      <c r="Q12" s="174">
        <f t="shared" si="4"/>
        <v>10.053349200952056</v>
      </c>
    </row>
    <row r="13" spans="2:17">
      <c r="B13" s="170" t="s">
        <v>235</v>
      </c>
      <c r="C13" s="170" t="s">
        <v>513</v>
      </c>
      <c r="D13" s="159">
        <v>2.2400000000000002</v>
      </c>
      <c r="E13" s="185">
        <f t="shared" si="0"/>
        <v>1395.9784734107143</v>
      </c>
      <c r="F13" s="172">
        <f>3126991780.44/1000000</f>
        <v>3126.9917804400002</v>
      </c>
      <c r="G13" s="172">
        <f>0.35*1000</f>
        <v>350</v>
      </c>
      <c r="H13" s="161">
        <f t="shared" si="2"/>
        <v>3476.9917804400002</v>
      </c>
      <c r="I13" s="172"/>
      <c r="J13" s="172"/>
      <c r="K13" s="172">
        <f>3535933294.12/1000000</f>
        <v>3535.93329412</v>
      </c>
      <c r="L13" s="172">
        <v>590</v>
      </c>
      <c r="M13" s="172">
        <v>410</v>
      </c>
      <c r="N13" s="173"/>
      <c r="O13" s="174">
        <f t="shared" si="3"/>
        <v>0.98333070542421852</v>
      </c>
      <c r="P13" s="174">
        <f t="shared" si="1"/>
        <v>5.8932064075254242</v>
      </c>
      <c r="Q13" s="174">
        <f t="shared" si="4"/>
        <v>7.6268092205853666</v>
      </c>
    </row>
    <row r="14" spans="2:17">
      <c r="B14" s="170" t="s">
        <v>236</v>
      </c>
      <c r="C14" s="170" t="s">
        <v>514</v>
      </c>
      <c r="D14" s="159">
        <v>61.36</v>
      </c>
      <c r="E14" s="171">
        <f t="shared" si="0"/>
        <v>18.527216427640155</v>
      </c>
      <c r="F14" s="172">
        <v>1136.83</v>
      </c>
      <c r="G14" s="172">
        <v>15.61</v>
      </c>
      <c r="H14" s="161">
        <f t="shared" si="2"/>
        <v>1152.4399999999998</v>
      </c>
      <c r="I14" s="172"/>
      <c r="J14" s="172"/>
      <c r="K14" s="172">
        <v>3700</v>
      </c>
      <c r="L14" s="172">
        <v>520</v>
      </c>
      <c r="M14" s="172">
        <v>290</v>
      </c>
      <c r="N14" s="173"/>
      <c r="O14" s="174">
        <f t="shared" si="3"/>
        <v>0.31147027027027024</v>
      </c>
      <c r="P14" s="174">
        <f t="shared" si="1"/>
        <v>2.2162307692307688</v>
      </c>
      <c r="Q14" s="174">
        <f t="shared" si="4"/>
        <v>3.9201034482758619</v>
      </c>
    </row>
    <row r="15" spans="2:17">
      <c r="B15" s="170" t="s">
        <v>237</v>
      </c>
      <c r="C15" s="170" t="s">
        <v>515</v>
      </c>
      <c r="D15" s="159">
        <v>14.22</v>
      </c>
      <c r="E15" s="171">
        <f t="shared" si="0"/>
        <v>116.62201125175808</v>
      </c>
      <c r="F15" s="172">
        <f>1658365000/1000000</f>
        <v>1658.365</v>
      </c>
      <c r="G15" s="172">
        <f>4702284000/1000000</f>
        <v>4702.2839999999997</v>
      </c>
      <c r="H15" s="161">
        <f t="shared" si="2"/>
        <v>6360.6489999999994</v>
      </c>
      <c r="I15" s="172"/>
      <c r="J15" s="172"/>
      <c r="K15" s="172">
        <f>11612475000/1000000</f>
        <v>11612.475</v>
      </c>
      <c r="L15" s="172">
        <v>943.15</v>
      </c>
      <c r="M15" s="186">
        <f>118584000/1000000</f>
        <v>118.584</v>
      </c>
      <c r="N15" s="173"/>
      <c r="O15" s="174">
        <f t="shared" si="3"/>
        <v>0.5477427507917132</v>
      </c>
      <c r="P15" s="174">
        <f t="shared" si="1"/>
        <v>6.7440481365636424</v>
      </c>
      <c r="Q15" s="174">
        <f t="shared" si="4"/>
        <v>13.98472812521082</v>
      </c>
    </row>
    <row r="16" spans="2:17" ht="6.75" customHeight="1">
      <c r="D16" s="162"/>
    </row>
    <row r="17" spans="2:17">
      <c r="B17" s="175" t="s">
        <v>516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6">
        <f>MAX(O8:O15)</f>
        <v>0.98333070542421852</v>
      </c>
      <c r="P17" s="176">
        <f>MAX(P8:P15)</f>
        <v>7.730844206074984</v>
      </c>
      <c r="Q17" s="176">
        <f>MAX(Q8:Q15)</f>
        <v>13.98472812521082</v>
      </c>
    </row>
    <row r="18" spans="2:17">
      <c r="B18" s="175" t="s">
        <v>517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6">
        <f>QUARTILE(O8:O15,3)</f>
        <v>0.55589417311983125</v>
      </c>
      <c r="P18" s="176">
        <f>QUARTILE(P8:P15,3)</f>
        <v>6.8728198769247655</v>
      </c>
      <c r="Q18" s="176">
        <f>QUARTILE(Q8:Q15,3)</f>
        <v>9.4734666105828413</v>
      </c>
    </row>
    <row r="19" spans="2:17">
      <c r="B19" s="177" t="s">
        <v>5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8">
        <f>AVERAGE(O8:O15)</f>
        <v>0.5061561639912211</v>
      </c>
      <c r="P19" s="178">
        <f>AVERAGE(P8:P15)</f>
        <v>5.203748103875391</v>
      </c>
      <c r="Q19" s="178">
        <f>AVERAGE(Q8:Q15)</f>
        <v>-33.848548501754443</v>
      </c>
    </row>
    <row r="20" spans="2:17">
      <c r="B20" s="177" t="s">
        <v>10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8">
        <f>MEDIAN(O8:O15)</f>
        <v>0.46482327625189868</v>
      </c>
      <c r="P20" s="178">
        <f>MEDIAN(P8:P15)</f>
        <v>5.1575489180484269</v>
      </c>
      <c r="Q20" s="178">
        <f>MEDIAN(Q8:Q15)</f>
        <v>7.8442309767755836</v>
      </c>
    </row>
    <row r="21" spans="2:17">
      <c r="B21" s="175" t="s">
        <v>518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6">
        <f>QUARTILE(O8:O15,1)</f>
        <v>0.34908407468017055</v>
      </c>
      <c r="P21" s="176">
        <f>QUARTILE(P8:P15,1)</f>
        <v>3.8521159036403625</v>
      </c>
      <c r="Q21" s="176">
        <f>QUARTILE(Q8:Q15,1)</f>
        <v>3.6306101305855947</v>
      </c>
    </row>
    <row r="22" spans="2:17">
      <c r="B22" s="175" t="s">
        <v>519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6">
        <f>MIN(O8:O15)</f>
        <v>0.31147027027027024</v>
      </c>
      <c r="P22" s="176">
        <f>MIN(P8:P15)</f>
        <v>2.2162307692307688</v>
      </c>
      <c r="Q22" s="176">
        <f>MIN(Q8:Q15)</f>
        <v>-326.47733333333332</v>
      </c>
    </row>
    <row r="24" spans="2:17">
      <c r="B24" s="179" t="s">
        <v>520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 t="s">
        <v>505</v>
      </c>
      <c r="P24" s="102" t="s">
        <v>506</v>
      </c>
      <c r="Q24" s="153" t="s">
        <v>507</v>
      </c>
    </row>
    <row r="25" spans="2:17" ht="3.75" customHeight="1"/>
    <row r="26" spans="2:17">
      <c r="B26" s="71" t="s">
        <v>521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180">
        <f>O$20*K8</f>
        <v>23806.853739793496</v>
      </c>
      <c r="P26" s="180">
        <f>P$20*L8</f>
        <v>35380.78557781221</v>
      </c>
      <c r="Q26" s="180">
        <f>+Q28+Q27</f>
        <v>48697.251052252206</v>
      </c>
    </row>
    <row r="27" spans="2:17">
      <c r="B27" s="71" t="s">
        <v>503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80">
        <f>$G$8</f>
        <v>8927</v>
      </c>
      <c r="P27" s="180">
        <f t="shared" ref="P27:Q27" si="5">$G$8</f>
        <v>8927</v>
      </c>
      <c r="Q27" s="180">
        <f t="shared" si="5"/>
        <v>8927</v>
      </c>
    </row>
    <row r="28" spans="2:17">
      <c r="B28" s="71" t="s">
        <v>522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180">
        <f>O26-O27</f>
        <v>14879.853739793496</v>
      </c>
      <c r="P28" s="180">
        <f t="shared" ref="P28" si="6">P26-P27</f>
        <v>26453.78557781221</v>
      </c>
      <c r="Q28" s="180">
        <f>Q20*M8</f>
        <v>39770.251052252206</v>
      </c>
    </row>
    <row r="29" spans="2:17">
      <c r="B29" s="71" t="s">
        <v>501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181">
        <f>$E$8</f>
        <v>145.96622889305817</v>
      </c>
      <c r="P29" s="181">
        <f t="shared" ref="P29:Q29" si="7">$E$8</f>
        <v>145.96622889305817</v>
      </c>
      <c r="Q29" s="181">
        <f t="shared" si="7"/>
        <v>145.96622889305817</v>
      </c>
    </row>
    <row r="30" spans="2:17" ht="5.25" customHeight="1">
      <c r="O30" s="8"/>
      <c r="P30" s="8"/>
      <c r="Q30" s="8"/>
    </row>
    <row r="31" spans="2:17">
      <c r="B31" s="182" t="s">
        <v>523</v>
      </c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3">
        <f>O28/O29</f>
        <v>101.94038616079605</v>
      </c>
      <c r="P31" s="183">
        <f t="shared" ref="P31:Q31" si="8">P28/P29</f>
        <v>181.23223281457464</v>
      </c>
      <c r="Q31" s="183">
        <f t="shared" si="8"/>
        <v>272.46200271015971</v>
      </c>
    </row>
    <row r="32" spans="2:17" ht="3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84"/>
      <c r="P32" s="184"/>
      <c r="Q32" s="184"/>
    </row>
    <row r="33" spans="2:17">
      <c r="B33" s="147" t="s">
        <v>524</v>
      </c>
    </row>
    <row r="34" spans="2:17">
      <c r="O34" t="str">
        <f>IF(O31&gt;$D$8,"Undervalued","Overvalued")</f>
        <v>Undervalued</v>
      </c>
      <c r="P34" t="str">
        <f t="shared" ref="P34:Q34" si="9">IF(P31&gt;$D$8,"Undervalued","Overvalued")</f>
        <v>Undervalued</v>
      </c>
      <c r="Q34" t="str">
        <f t="shared" si="9"/>
        <v>Undervalued</v>
      </c>
    </row>
    <row r="36" spans="2:17">
      <c r="B36" s="179" t="s">
        <v>525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153" t="s">
        <v>505</v>
      </c>
      <c r="P36" s="102" t="s">
        <v>506</v>
      </c>
      <c r="Q36" s="153" t="s">
        <v>507</v>
      </c>
    </row>
    <row r="38" spans="2:17">
      <c r="B38" s="71" t="s">
        <v>521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180">
        <f>O$20*K9</f>
        <v>9959.7683402494331</v>
      </c>
      <c r="P38" s="180">
        <f>P$20*L9</f>
        <v>5000.501553493852</v>
      </c>
      <c r="Q38" s="180">
        <f>+Q40+Q39</f>
        <v>2480.6165353483666</v>
      </c>
    </row>
    <row r="39" spans="2:17">
      <c r="B39" s="71" t="s">
        <v>503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180">
        <f>$G$9</f>
        <v>2598.2800000000002</v>
      </c>
      <c r="P39" s="180">
        <f t="shared" ref="P39:Q39" si="10">$G$9</f>
        <v>2598.2800000000002</v>
      </c>
      <c r="Q39" s="180">
        <f t="shared" si="10"/>
        <v>2598.2800000000002</v>
      </c>
    </row>
    <row r="40" spans="2:17">
      <c r="B40" s="71" t="s">
        <v>522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180">
        <f>O38-O39</f>
        <v>7361.4883402494324</v>
      </c>
      <c r="P40" s="180">
        <f t="shared" ref="P40" si="11">P38-P39</f>
        <v>2402.2215534938518</v>
      </c>
      <c r="Q40" s="180">
        <f>Q20*M9</f>
        <v>-117.66346465163376</v>
      </c>
    </row>
    <row r="41" spans="2:17">
      <c r="B41" s="71" t="s">
        <v>501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181">
        <f>$E$9</f>
        <v>21.014246481290765</v>
      </c>
      <c r="P41" s="181">
        <f t="shared" ref="P41:Q41" si="12">$E$9</f>
        <v>21.014246481290765</v>
      </c>
      <c r="Q41" s="181">
        <f t="shared" si="12"/>
        <v>21.014246481290765</v>
      </c>
    </row>
    <row r="42" spans="2:17">
      <c r="O42" s="8"/>
      <c r="P42" s="8"/>
      <c r="Q42" s="8"/>
    </row>
    <row r="43" spans="2:17">
      <c r="B43" s="182" t="s">
        <v>523</v>
      </c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3">
        <f>O40/O41</f>
        <v>350.3094125598771</v>
      </c>
      <c r="P43" s="183">
        <f t="shared" ref="P43:Q43" si="13">P40/P41</f>
        <v>114.31395152010701</v>
      </c>
      <c r="Q43" s="183">
        <f t="shared" si="13"/>
        <v>-5.5992235913093982</v>
      </c>
    </row>
    <row r="44" spans="2:17" ht="3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84"/>
      <c r="P44" s="184"/>
      <c r="Q44" s="184"/>
    </row>
    <row r="45" spans="2:17">
      <c r="B45" s="147" t="s">
        <v>524</v>
      </c>
    </row>
    <row r="46" spans="2:17">
      <c r="O46" t="str">
        <f>IF(O43&gt;$D$9,"Undervalued","Overvalued")</f>
        <v>Undervalued</v>
      </c>
      <c r="P46" t="str">
        <f>IF(P43&gt;$D$9,"Undervalued","Overvalued")</f>
        <v>Overvalued</v>
      </c>
      <c r="Q46" t="str">
        <f>IF(Q43&gt;$D$9,"Undervalued","Overvalued")</f>
        <v>Overvalued</v>
      </c>
    </row>
  </sheetData>
  <mergeCells count="3">
    <mergeCell ref="D5:I5"/>
    <mergeCell ref="K5:M5"/>
    <mergeCell ref="O5:Q5"/>
  </mergeCells>
  <pageMargins left="0.7" right="0.7" top="0.75" bottom="0.75" header="0.3" footer="0.3"/>
  <pageSetup paperSize="8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6E45-0ED7-46FC-B495-FA76E0E81502}">
  <sheetPr>
    <tabColor rgb="FF002060"/>
  </sheetPr>
  <dimension ref="A1"/>
  <sheetViews>
    <sheetView workbookViewId="0">
      <selection activeCell="K19" sqref="K19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284B-6E43-4C29-92AC-CEA7C520B163}">
  <dimension ref="A1:BZ437"/>
  <sheetViews>
    <sheetView topLeftCell="A24" zoomScale="135" workbookViewId="0">
      <pane xSplit="12" topLeftCell="M1" activePane="topRight" state="frozen"/>
      <selection pane="topRight" activeCell="T55" sqref="T55"/>
    </sheetView>
  </sheetViews>
  <sheetFormatPr baseColWidth="10" defaultColWidth="10.5" defaultRowHeight="13" outlineLevelRow="1" outlineLevelCol="1"/>
  <cols>
    <col min="1" max="1" width="26.6640625" style="57" hidden="1" customWidth="1" outlineLevel="1"/>
    <col min="2" max="11" width="11.5" style="57" hidden="1" customWidth="1" outlineLevel="1"/>
    <col min="12" max="12" width="0" style="57" hidden="1" customWidth="1" outlineLevel="1"/>
    <col min="13" max="13" width="10.5" style="57" outlineLevel="1"/>
    <col min="14" max="14" width="38.83203125" style="57" bestFit="1" customWidth="1"/>
    <col min="15" max="15" width="10.6640625" style="106" bestFit="1" customWidth="1"/>
    <col min="16" max="16" width="11.1640625" style="106" bestFit="1" customWidth="1"/>
    <col min="17" max="17" width="13.5" style="106" bestFit="1" customWidth="1"/>
    <col min="18" max="18" width="12.5" style="106" bestFit="1" customWidth="1"/>
    <col min="19" max="19" width="10.6640625" style="106" bestFit="1" customWidth="1"/>
    <col min="20" max="20" width="11.1640625" style="106" bestFit="1" customWidth="1"/>
    <col min="21" max="21" width="13.5" style="106" bestFit="1" customWidth="1"/>
    <col min="22" max="22" width="42.5" style="106" bestFit="1" customWidth="1"/>
    <col min="23" max="23" width="13.5" style="106" bestFit="1" customWidth="1"/>
    <col min="24" max="24" width="12.5" style="106" bestFit="1" customWidth="1"/>
    <col min="25" max="25" width="10.6640625" style="106" bestFit="1" customWidth="1"/>
    <col min="26" max="26" width="11.1640625" style="106" bestFit="1" customWidth="1"/>
    <col min="27" max="27" width="13.5" style="106" bestFit="1" customWidth="1"/>
    <col min="28" max="28" width="12.5" style="106" bestFit="1" customWidth="1"/>
    <col min="29" max="29" width="37.6640625" style="106" bestFit="1" customWidth="1"/>
    <col min="30" max="30" width="12.5" style="106" bestFit="1" customWidth="1"/>
    <col min="31" max="31" width="10.6640625" style="106" bestFit="1" customWidth="1"/>
    <col min="32" max="32" width="11.1640625" style="106" bestFit="1" customWidth="1"/>
    <col min="33" max="33" width="13.5" style="106" bestFit="1" customWidth="1"/>
    <col min="34" max="34" width="12.5" style="106" bestFit="1" customWidth="1"/>
    <col min="35" max="35" width="10.6640625" style="106" bestFit="1" customWidth="1"/>
    <col min="36" max="36" width="11.1640625" style="106" bestFit="1" customWidth="1"/>
    <col min="37" max="37" width="13.5" style="106" bestFit="1" customWidth="1"/>
    <col min="38" max="38" width="12.5" style="106" bestFit="1" customWidth="1"/>
    <col min="39" max="78" width="10.5" style="106"/>
    <col min="79" max="16384" width="10.5" style="57"/>
  </cols>
  <sheetData>
    <row r="1" spans="1:78" s="56" customFormat="1" hidden="1" outlineLevel="1">
      <c r="A1" s="56" t="s">
        <v>99</v>
      </c>
      <c r="B1" s="56" t="s">
        <v>100</v>
      </c>
      <c r="E1" s="214" t="str">
        <f>IF(B2&lt;&gt;B3, "A NEW VERSION OF THE WORKSHEET IS AVAILABLE", "")</f>
        <v/>
      </c>
      <c r="F1" s="214"/>
      <c r="G1" s="214"/>
      <c r="H1" s="214"/>
      <c r="I1" s="214"/>
      <c r="J1" s="214"/>
      <c r="K1" s="214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</row>
    <row r="2" spans="1:78" hidden="1" outlineLevel="1">
      <c r="A2" s="56" t="s">
        <v>101</v>
      </c>
      <c r="B2" s="57">
        <v>2.1</v>
      </c>
      <c r="E2" s="136"/>
      <c r="F2" s="136"/>
      <c r="G2" s="136"/>
      <c r="H2" s="136"/>
      <c r="I2" s="136"/>
      <c r="J2" s="136"/>
      <c r="K2" s="136"/>
    </row>
    <row r="3" spans="1:78" hidden="1" outlineLevel="1">
      <c r="A3" s="56" t="s">
        <v>102</v>
      </c>
      <c r="B3" s="57">
        <v>2.1</v>
      </c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78" hidden="1" outlineLevel="1">
      <c r="A4" s="56"/>
    </row>
    <row r="5" spans="1:78" hidden="1" outlineLevel="1">
      <c r="A5" s="56" t="s">
        <v>103</v>
      </c>
    </row>
    <row r="6" spans="1:78" hidden="1" outlineLevel="1">
      <c r="A6" s="57" t="s">
        <v>104</v>
      </c>
      <c r="B6" s="57">
        <f>IF(B9&gt;0, B9/B8, 0)</f>
        <v>95.919780046582488</v>
      </c>
      <c r="N6" s="118"/>
    </row>
    <row r="7" spans="1:78" hidden="1" outlineLevel="1">
      <c r="A7" s="57" t="s">
        <v>105</v>
      </c>
      <c r="B7" s="58">
        <v>1</v>
      </c>
    </row>
    <row r="8" spans="1:78" ht="15" hidden="1" outlineLevel="1">
      <c r="A8" s="57" t="s">
        <v>106</v>
      </c>
      <c r="B8" s="58">
        <v>2855.15</v>
      </c>
      <c r="N8" s="104"/>
    </row>
    <row r="9" spans="1:78" hidden="1" outlineLevel="1">
      <c r="A9" s="57" t="s">
        <v>12</v>
      </c>
      <c r="B9" s="58">
        <v>273865.36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</row>
    <row r="10" spans="1:78" hidden="1" outlineLevel="1"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</row>
    <row r="11" spans="1:78" hidden="1" outlineLevel="1"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</row>
    <row r="12" spans="1:78" hidden="1" outlineLevel="1"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</row>
    <row r="13" spans="1:78" hidden="1" outlineLevel="1"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</row>
    <row r="14" spans="1:78" hidden="1" outlineLevel="1"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</row>
    <row r="15" spans="1:78" hidden="1" outlineLevel="1">
      <c r="A15" s="56" t="s">
        <v>107</v>
      </c>
      <c r="B15" s="57">
        <f>B26+B34</f>
        <v>1960.83</v>
      </c>
      <c r="K15" s="57">
        <f>K17-K18-K20-K21-K22-K23-K19</f>
        <v>2918.7899999999981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</row>
    <row r="16" spans="1:78" s="61" customFormat="1" hidden="1" outlineLevel="1">
      <c r="A16" s="59" t="s">
        <v>108</v>
      </c>
      <c r="B16" s="60">
        <v>41364</v>
      </c>
      <c r="C16" s="60">
        <v>41729</v>
      </c>
      <c r="D16" s="60">
        <v>42094</v>
      </c>
      <c r="E16" s="60">
        <v>42460</v>
      </c>
      <c r="F16" s="60">
        <v>42825</v>
      </c>
      <c r="G16" s="60">
        <v>43190</v>
      </c>
      <c r="H16" s="60">
        <v>43555</v>
      </c>
      <c r="I16" s="60">
        <v>43921</v>
      </c>
      <c r="J16" s="60">
        <v>44286</v>
      </c>
      <c r="K16" s="60">
        <v>44651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</row>
    <row r="17" spans="1:78" hidden="1" outlineLevel="1">
      <c r="A17" s="57" t="s">
        <v>74</v>
      </c>
      <c r="B17" s="58">
        <v>10503.91</v>
      </c>
      <c r="C17" s="58">
        <v>12220.37</v>
      </c>
      <c r="D17" s="58">
        <v>13615.26</v>
      </c>
      <c r="E17" s="58">
        <v>14271.49</v>
      </c>
      <c r="F17" s="58">
        <v>15061.99</v>
      </c>
      <c r="G17" s="58">
        <v>16824.55</v>
      </c>
      <c r="H17" s="58">
        <v>19240.13</v>
      </c>
      <c r="I17" s="58">
        <v>20211.25</v>
      </c>
      <c r="J17" s="58">
        <v>21712.79</v>
      </c>
      <c r="K17" s="58">
        <v>29101.279999999999</v>
      </c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</row>
    <row r="18" spans="1:78" ht="15" hidden="1" outlineLevel="1">
      <c r="A18" s="57" t="s">
        <v>109</v>
      </c>
      <c r="B18" s="62">
        <v>5636.23</v>
      </c>
      <c r="C18" s="62">
        <v>6339.75</v>
      </c>
      <c r="D18" s="62">
        <v>6874.83</v>
      </c>
      <c r="E18" s="62">
        <v>6569.83</v>
      </c>
      <c r="F18" s="62">
        <v>7452.6</v>
      </c>
      <c r="G18" s="62">
        <v>8128.17</v>
      </c>
      <c r="H18" s="62">
        <v>9974.4</v>
      </c>
      <c r="I18" s="62">
        <v>9981.99</v>
      </c>
      <c r="J18" s="62">
        <v>10425.549999999999</v>
      </c>
      <c r="K18" s="62">
        <v>17123.25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</row>
    <row r="19" spans="1:78" ht="15" hidden="1" outlineLevel="1">
      <c r="A19" s="57" t="s">
        <v>110</v>
      </c>
      <c r="B19" s="62">
        <v>149.56</v>
      </c>
      <c r="C19" s="62">
        <v>90.28</v>
      </c>
      <c r="D19" s="62">
        <v>148.07</v>
      </c>
      <c r="E19" s="62">
        <v>-199.33</v>
      </c>
      <c r="F19" s="62">
        <v>528.6</v>
      </c>
      <c r="G19" s="62">
        <v>-142.13</v>
      </c>
      <c r="H19" s="62">
        <v>293.26</v>
      </c>
      <c r="I19" s="62">
        <v>239.15</v>
      </c>
      <c r="J19" s="62">
        <v>92.45</v>
      </c>
      <c r="K19" s="62">
        <v>1324.97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</row>
    <row r="20" spans="1:78" hidden="1" outlineLevel="1">
      <c r="A20" s="57" t="s">
        <v>111</v>
      </c>
      <c r="B20" s="58">
        <v>114.71</v>
      </c>
      <c r="C20" s="58">
        <v>133.74</v>
      </c>
      <c r="D20" s="58">
        <v>130.68</v>
      </c>
      <c r="E20" s="58">
        <v>114.48</v>
      </c>
      <c r="F20" s="58">
        <v>106.02</v>
      </c>
      <c r="G20" s="58">
        <v>110.3</v>
      </c>
      <c r="H20" s="58">
        <v>119.63</v>
      </c>
      <c r="I20" s="58">
        <v>97.79</v>
      </c>
      <c r="J20" s="58">
        <v>86.05</v>
      </c>
      <c r="K20" s="58">
        <v>117.23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</row>
    <row r="21" spans="1:78" hidden="1" outlineLevel="1">
      <c r="A21" s="57" t="s">
        <v>112</v>
      </c>
      <c r="B21" s="58">
        <v>1107.31</v>
      </c>
      <c r="C21" s="58">
        <v>1292.18</v>
      </c>
      <c r="D21" s="58">
        <v>1504.47</v>
      </c>
      <c r="E21" s="58">
        <v>1535.22</v>
      </c>
      <c r="F21" s="58">
        <v>1662.75</v>
      </c>
      <c r="G21" s="58">
        <v>1691.68</v>
      </c>
      <c r="H21" s="58">
        <v>1862.35</v>
      </c>
      <c r="I21" s="58">
        <v>1946.12</v>
      </c>
      <c r="J21" s="58">
        <v>2068.31</v>
      </c>
      <c r="K21" s="58">
        <v>2880.45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</row>
    <row r="22" spans="1:78" hidden="1" outlineLevel="1">
      <c r="A22" s="57" t="s">
        <v>113</v>
      </c>
      <c r="B22" s="58">
        <v>627.59</v>
      </c>
      <c r="C22" s="58">
        <v>763.59</v>
      </c>
      <c r="D22" s="58">
        <v>936.86</v>
      </c>
      <c r="E22" s="58">
        <v>994.98</v>
      </c>
      <c r="F22" s="58">
        <v>1039.8900000000001</v>
      </c>
      <c r="G22" s="58">
        <v>1121.8900000000001</v>
      </c>
      <c r="H22" s="58">
        <v>1242.69</v>
      </c>
      <c r="I22" s="58">
        <v>1371.27</v>
      </c>
      <c r="J22" s="58">
        <v>1547.61</v>
      </c>
      <c r="K22" s="58">
        <v>1794.61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</row>
    <row r="23" spans="1:78" hidden="1" outlineLevel="1">
      <c r="A23" s="57" t="s">
        <v>114</v>
      </c>
      <c r="B23" s="58">
        <v>2273.91</v>
      </c>
      <c r="C23" s="58">
        <v>2826.43</v>
      </c>
      <c r="D23" s="58">
        <v>3351.66</v>
      </c>
      <c r="E23" s="58">
        <v>3912.3</v>
      </c>
      <c r="F23" s="58">
        <v>4364.04</v>
      </c>
      <c r="G23" s="58">
        <v>2254.92</v>
      </c>
      <c r="H23" s="58">
        <v>2366.87</v>
      </c>
      <c r="I23" s="58">
        <v>2311.5100000000002</v>
      </c>
      <c r="J23" s="58">
        <v>2245.69</v>
      </c>
      <c r="K23" s="58">
        <v>2941.98</v>
      </c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</row>
    <row r="24" spans="1:78" collapsed="1">
      <c r="A24" s="57" t="s">
        <v>115</v>
      </c>
      <c r="B24" s="58">
        <v>-843.67</v>
      </c>
      <c r="C24" s="58">
        <v>-1048.7</v>
      </c>
      <c r="D24" s="58">
        <v>-1278.06</v>
      </c>
      <c r="E24" s="58">
        <v>-1779.69</v>
      </c>
      <c r="F24" s="58">
        <v>-2028.47</v>
      </c>
      <c r="G24" s="58">
        <v>171.45</v>
      </c>
      <c r="H24" s="58">
        <v>202.51</v>
      </c>
      <c r="I24" s="58">
        <v>584.9</v>
      </c>
      <c r="J24" s="58">
        <v>576.42999999999995</v>
      </c>
      <c r="K24" s="58">
        <v>765.12</v>
      </c>
    </row>
    <row r="25" spans="1:78">
      <c r="A25" s="57" t="s">
        <v>116</v>
      </c>
      <c r="B25" s="58">
        <v>114.48</v>
      </c>
      <c r="C25" s="58">
        <v>124.26</v>
      </c>
      <c r="D25" s="58">
        <v>142.13999999999999</v>
      </c>
      <c r="E25" s="58">
        <v>213.39</v>
      </c>
      <c r="F25" s="58">
        <v>337.9</v>
      </c>
      <c r="G25" s="58">
        <v>336.41</v>
      </c>
      <c r="H25" s="58">
        <v>273.77</v>
      </c>
      <c r="I25" s="58">
        <v>355.05</v>
      </c>
      <c r="J25" s="58">
        <v>331.65</v>
      </c>
      <c r="K25" s="58">
        <v>295.88</v>
      </c>
    </row>
    <row r="26" spans="1:78" ht="15">
      <c r="A26" s="57" t="s">
        <v>78</v>
      </c>
      <c r="B26" s="58">
        <v>154.6</v>
      </c>
      <c r="C26" s="58">
        <v>245.66</v>
      </c>
      <c r="D26" s="58">
        <v>265.92</v>
      </c>
      <c r="E26" s="58">
        <v>275.58</v>
      </c>
      <c r="F26" s="58">
        <v>334.79</v>
      </c>
      <c r="G26" s="58">
        <v>360.47</v>
      </c>
      <c r="H26" s="58">
        <v>622.14</v>
      </c>
      <c r="I26" s="58">
        <v>780.5</v>
      </c>
      <c r="J26" s="58">
        <v>791.27</v>
      </c>
      <c r="K26" s="58">
        <v>816.36</v>
      </c>
      <c r="N26"/>
      <c r="AC26" s="135" t="s">
        <v>492</v>
      </c>
    </row>
    <row r="27" spans="1:78" ht="15">
      <c r="A27" s="57" t="s">
        <v>77</v>
      </c>
      <c r="B27" s="58">
        <v>42.06</v>
      </c>
      <c r="C27" s="58">
        <v>47.99</v>
      </c>
      <c r="D27" s="58">
        <v>42.24</v>
      </c>
      <c r="E27" s="58">
        <v>49</v>
      </c>
      <c r="F27" s="58">
        <v>37.33</v>
      </c>
      <c r="G27" s="58">
        <v>41.47</v>
      </c>
      <c r="H27" s="58">
        <v>110.47</v>
      </c>
      <c r="I27" s="58">
        <v>102.33</v>
      </c>
      <c r="J27" s="62">
        <v>91.63</v>
      </c>
      <c r="K27" s="62">
        <v>95.41</v>
      </c>
      <c r="N27" s="117" t="s">
        <v>123</v>
      </c>
      <c r="V27" s="117" t="s">
        <v>414</v>
      </c>
    </row>
    <row r="28" spans="1:78" ht="15">
      <c r="A28" s="57" t="s">
        <v>117</v>
      </c>
      <c r="B28" s="58">
        <v>1655.21</v>
      </c>
      <c r="C28" s="58">
        <v>1834.27</v>
      </c>
      <c r="D28" s="58">
        <v>2076.87</v>
      </c>
      <c r="E28" s="58">
        <v>2613.85</v>
      </c>
      <c r="F28" s="58">
        <v>2959.54</v>
      </c>
      <c r="G28" s="58">
        <v>3138.48</v>
      </c>
      <c r="H28" s="58">
        <v>3306.1</v>
      </c>
      <c r="I28" s="58">
        <v>3629.04</v>
      </c>
      <c r="J28" s="58">
        <v>4304.3500000000004</v>
      </c>
      <c r="K28" s="58">
        <v>4187.72</v>
      </c>
      <c r="N28"/>
      <c r="O28" s="116">
        <v>43586</v>
      </c>
      <c r="P28" s="116">
        <v>43952</v>
      </c>
      <c r="Q28" s="116">
        <v>44317</v>
      </c>
      <c r="R28" s="116">
        <v>44682</v>
      </c>
      <c r="S28" s="116">
        <v>45047</v>
      </c>
      <c r="V28" s="133"/>
      <c r="W28" s="133">
        <v>43586</v>
      </c>
      <c r="X28" s="133">
        <v>43952</v>
      </c>
      <c r="Y28" s="133">
        <v>44317</v>
      </c>
      <c r="Z28" s="133">
        <v>44682</v>
      </c>
      <c r="AA28" s="133">
        <v>45047</v>
      </c>
      <c r="AC28" s="133"/>
      <c r="AD28" s="133">
        <v>43586</v>
      </c>
      <c r="AE28" s="133">
        <v>43952</v>
      </c>
      <c r="AF28" s="133">
        <v>44317</v>
      </c>
      <c r="AG28" s="133">
        <v>44682</v>
      </c>
      <c r="AH28" s="133">
        <v>45047</v>
      </c>
    </row>
    <row r="29" spans="1:78" ht="15">
      <c r="A29" s="57" t="s">
        <v>79</v>
      </c>
      <c r="B29" s="58">
        <v>495.69</v>
      </c>
      <c r="C29" s="58">
        <v>571.51</v>
      </c>
      <c r="D29" s="58">
        <v>649.54</v>
      </c>
      <c r="E29" s="58">
        <v>844.49</v>
      </c>
      <c r="F29" s="58">
        <v>943.29</v>
      </c>
      <c r="G29" s="58">
        <v>1040.96</v>
      </c>
      <c r="H29" s="58">
        <v>1098.06</v>
      </c>
      <c r="I29" s="58">
        <v>854.85</v>
      </c>
      <c r="J29" s="58">
        <v>1097.5999999999999</v>
      </c>
      <c r="K29" s="58">
        <v>1102.9100000000001</v>
      </c>
      <c r="N29" s="122" t="s">
        <v>415</v>
      </c>
      <c r="O29" s="125"/>
      <c r="P29" s="125"/>
      <c r="Q29" s="125"/>
      <c r="R29" s="125"/>
      <c r="S29" s="125"/>
      <c r="V29" s="124" t="s">
        <v>239</v>
      </c>
      <c r="W29" s="126"/>
      <c r="X29" s="126"/>
      <c r="Y29" s="126"/>
      <c r="Z29" s="126"/>
      <c r="AA29" s="126"/>
      <c r="AC29" s="124" t="s">
        <v>429</v>
      </c>
      <c r="AD29" s="126"/>
      <c r="AE29" s="126"/>
      <c r="AF29" s="126"/>
      <c r="AG29" s="126"/>
      <c r="AH29" s="126"/>
    </row>
    <row r="30" spans="1:78" ht="15">
      <c r="A30" s="57" t="s">
        <v>118</v>
      </c>
      <c r="B30" s="58">
        <v>1113.8800000000001</v>
      </c>
      <c r="C30" s="58">
        <v>1218.81</v>
      </c>
      <c r="D30" s="58">
        <v>1395.15</v>
      </c>
      <c r="E30" s="58">
        <v>1745.16</v>
      </c>
      <c r="F30" s="58">
        <v>1939.43</v>
      </c>
      <c r="G30" s="58">
        <v>2038.93</v>
      </c>
      <c r="H30" s="58">
        <v>2155.92</v>
      </c>
      <c r="I30" s="58">
        <v>2705.17</v>
      </c>
      <c r="J30" s="58">
        <v>3139.29</v>
      </c>
      <c r="K30" s="58">
        <v>3030.57</v>
      </c>
      <c r="N30" s="122" t="s">
        <v>416</v>
      </c>
      <c r="O30" s="126" t="s">
        <v>297</v>
      </c>
      <c r="P30" s="126" t="s">
        <v>298</v>
      </c>
      <c r="Q30" s="126" t="s">
        <v>299</v>
      </c>
      <c r="R30" s="126" t="s">
        <v>300</v>
      </c>
      <c r="S30" s="126" t="s">
        <v>301</v>
      </c>
      <c r="V30" s="124" t="s">
        <v>240</v>
      </c>
      <c r="W30" s="139" t="s">
        <v>241</v>
      </c>
      <c r="X30" s="139" t="s">
        <v>242</v>
      </c>
      <c r="Y30" s="139" t="s">
        <v>243</v>
      </c>
      <c r="Z30" s="139" t="s">
        <v>244</v>
      </c>
      <c r="AA30" s="139" t="s">
        <v>245</v>
      </c>
      <c r="AC30" s="124" t="s">
        <v>430</v>
      </c>
      <c r="AD30" s="128" t="s">
        <v>282</v>
      </c>
      <c r="AE30" s="128" t="s">
        <v>283</v>
      </c>
      <c r="AF30" s="128" t="s">
        <v>284</v>
      </c>
      <c r="AG30" s="128" t="s">
        <v>285</v>
      </c>
      <c r="AH30" s="128" t="s">
        <v>287</v>
      </c>
    </row>
    <row r="31" spans="1:78" ht="15">
      <c r="A31" s="57" t="s">
        <v>119</v>
      </c>
      <c r="B31" s="58">
        <v>441.23</v>
      </c>
      <c r="C31" s="58">
        <v>508.38</v>
      </c>
      <c r="D31" s="58">
        <v>585.11</v>
      </c>
      <c r="E31" s="58">
        <v>719.4</v>
      </c>
      <c r="F31" s="58">
        <v>987.98</v>
      </c>
      <c r="G31" s="58">
        <v>834.5</v>
      </c>
      <c r="H31" s="58">
        <v>1007.16</v>
      </c>
      <c r="I31" s="58">
        <v>1151.04</v>
      </c>
      <c r="J31" s="58">
        <v>1712.17</v>
      </c>
      <c r="K31" s="58">
        <v>1836.87</v>
      </c>
      <c r="N31" s="122" t="s">
        <v>161</v>
      </c>
      <c r="O31" s="126" t="s">
        <v>297</v>
      </c>
      <c r="P31" s="126" t="s">
        <v>298</v>
      </c>
      <c r="Q31" s="126" t="s">
        <v>299</v>
      </c>
      <c r="R31" s="126" t="s">
        <v>300</v>
      </c>
      <c r="S31" s="207">
        <v>7441</v>
      </c>
      <c r="V31" s="124"/>
      <c r="W31" s="140"/>
      <c r="X31" s="141"/>
      <c r="Y31" s="140"/>
      <c r="Z31" s="140"/>
      <c r="AA31" s="140"/>
      <c r="AC31" s="122" t="s">
        <v>431</v>
      </c>
      <c r="AD31" s="126">
        <v>720</v>
      </c>
      <c r="AE31" s="126">
        <v>721</v>
      </c>
      <c r="AF31" s="126">
        <v>797</v>
      </c>
      <c r="AG31" s="126">
        <v>840</v>
      </c>
      <c r="AH31" s="126">
        <v>859</v>
      </c>
      <c r="BZ31" s="57"/>
    </row>
    <row r="32" spans="1:78" ht="15">
      <c r="A32" s="57" t="s">
        <v>80</v>
      </c>
      <c r="B32" s="63">
        <f>B29/B28</f>
        <v>0.29947257447695458</v>
      </c>
      <c r="C32" s="63">
        <f t="shared" ref="C32:K32" si="0">C29/C28</f>
        <v>0.31157354151787903</v>
      </c>
      <c r="D32" s="63">
        <f t="shared" si="0"/>
        <v>0.31274947396803843</v>
      </c>
      <c r="E32" s="63">
        <f t="shared" si="0"/>
        <v>0.32308280888344781</v>
      </c>
      <c r="F32" s="63">
        <f t="shared" si="0"/>
        <v>0.31872858619920663</v>
      </c>
      <c r="G32" s="63">
        <f t="shared" si="0"/>
        <v>0.33167648033442942</v>
      </c>
      <c r="H32" s="63">
        <f t="shared" si="0"/>
        <v>0.3321315144732464</v>
      </c>
      <c r="I32" s="63">
        <f t="shared" si="0"/>
        <v>0.23555816414258318</v>
      </c>
      <c r="J32" s="63">
        <f t="shared" si="0"/>
        <v>0.25499785101118633</v>
      </c>
      <c r="K32" s="63">
        <f t="shared" si="0"/>
        <v>0.26336765590822692</v>
      </c>
      <c r="N32" s="122" t="s">
        <v>302</v>
      </c>
      <c r="O32" s="126">
        <v>197</v>
      </c>
      <c r="P32" s="126">
        <v>439</v>
      </c>
      <c r="Q32" s="126" t="s">
        <v>303</v>
      </c>
      <c r="R32" s="126" t="s">
        <v>304</v>
      </c>
      <c r="S32" s="126" t="s">
        <v>305</v>
      </c>
      <c r="V32" s="124" t="s">
        <v>246</v>
      </c>
      <c r="W32" s="137"/>
      <c r="X32" s="137"/>
      <c r="Y32" s="137"/>
      <c r="Z32" s="137"/>
      <c r="AA32" s="137"/>
      <c r="AC32" s="122" t="s">
        <v>432</v>
      </c>
      <c r="AD32" s="126">
        <v>34</v>
      </c>
      <c r="AE32" s="126">
        <v>-380</v>
      </c>
      <c r="AF32" s="126">
        <v>-385</v>
      </c>
      <c r="AG32" s="126">
        <v>-650</v>
      </c>
      <c r="AH32" s="126">
        <v>-117</v>
      </c>
      <c r="BZ32" s="57"/>
    </row>
    <row r="33" spans="1:78" ht="15">
      <c r="N33" s="122" t="s">
        <v>306</v>
      </c>
      <c r="O33" s="126" t="s">
        <v>308</v>
      </c>
      <c r="P33" s="126" t="s">
        <v>309</v>
      </c>
      <c r="Q33" s="126" t="s">
        <v>310</v>
      </c>
      <c r="R33" s="126" t="s">
        <v>311</v>
      </c>
      <c r="S33" s="126" t="s">
        <v>312</v>
      </c>
      <c r="V33" s="122" t="s">
        <v>247</v>
      </c>
      <c r="W33" s="137" t="s">
        <v>248</v>
      </c>
      <c r="X33" s="137" t="s">
        <v>249</v>
      </c>
      <c r="Y33" s="137" t="s">
        <v>250</v>
      </c>
      <c r="Z33" s="137" t="s">
        <v>251</v>
      </c>
      <c r="AA33" s="137" t="s">
        <v>252</v>
      </c>
      <c r="AC33" s="122" t="s">
        <v>433</v>
      </c>
      <c r="AD33" s="126">
        <v>325</v>
      </c>
      <c r="AE33" s="126">
        <v>429</v>
      </c>
      <c r="AF33" s="126">
        <v>611</v>
      </c>
      <c r="AG33" s="126">
        <v>638</v>
      </c>
      <c r="AH33" s="126">
        <v>755</v>
      </c>
      <c r="BZ33" s="57"/>
    </row>
    <row r="34" spans="1:78" ht="15">
      <c r="A34" s="57" t="s">
        <v>76</v>
      </c>
      <c r="B34" s="57">
        <f>+B30+B29+B27+B26</f>
        <v>1806.23</v>
      </c>
      <c r="C34" s="57">
        <f t="shared" ref="C34:K34" si="1">+C30+C29+C27+C26</f>
        <v>2083.9699999999998</v>
      </c>
      <c r="D34" s="57">
        <f t="shared" si="1"/>
        <v>2352.85</v>
      </c>
      <c r="E34" s="57">
        <f t="shared" si="1"/>
        <v>2914.23</v>
      </c>
      <c r="F34" s="57">
        <f t="shared" si="1"/>
        <v>3254.84</v>
      </c>
      <c r="G34" s="57">
        <f t="shared" si="1"/>
        <v>3481.83</v>
      </c>
      <c r="H34" s="57">
        <f t="shared" si="1"/>
        <v>3986.5899999999997</v>
      </c>
      <c r="I34" s="57">
        <f t="shared" si="1"/>
        <v>4442.8500000000004</v>
      </c>
      <c r="J34" s="57">
        <f t="shared" si="1"/>
        <v>5119.7899999999991</v>
      </c>
      <c r="K34" s="57">
        <f t="shared" si="1"/>
        <v>5045.25</v>
      </c>
      <c r="N34" s="123" t="s">
        <v>313</v>
      </c>
      <c r="O34" s="126" t="s">
        <v>308</v>
      </c>
      <c r="P34" s="126" t="s">
        <v>309</v>
      </c>
      <c r="Q34" s="126" t="s">
        <v>310</v>
      </c>
      <c r="R34" s="126" t="s">
        <v>311</v>
      </c>
      <c r="S34" s="126" t="s">
        <v>312</v>
      </c>
      <c r="V34" s="124" t="s">
        <v>75</v>
      </c>
      <c r="W34" s="139" t="s">
        <v>253</v>
      </c>
      <c r="X34" s="139" t="s">
        <v>254</v>
      </c>
      <c r="Y34" s="139" t="s">
        <v>255</v>
      </c>
      <c r="Z34" s="139" t="s">
        <v>256</v>
      </c>
      <c r="AA34" s="139" t="s">
        <v>257</v>
      </c>
      <c r="AC34" s="122" t="s">
        <v>434</v>
      </c>
      <c r="AD34" s="126">
        <v>558</v>
      </c>
      <c r="AE34" s="126">
        <v>850</v>
      </c>
      <c r="AF34" s="126">
        <v>473</v>
      </c>
      <c r="AG34" s="126">
        <v>612</v>
      </c>
      <c r="AH34" s="126">
        <v>542</v>
      </c>
      <c r="BZ34" s="57"/>
    </row>
    <row r="35" spans="1:78" ht="15">
      <c r="N35" s="123" t="s">
        <v>314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V35" s="124"/>
      <c r="W35" s="140"/>
      <c r="X35" s="141"/>
      <c r="Y35" s="140"/>
      <c r="Z35" s="140"/>
      <c r="AA35" s="140"/>
      <c r="AC35" s="122" t="s">
        <v>435</v>
      </c>
      <c r="AD35" s="126">
        <v>757</v>
      </c>
      <c r="AE35" s="126" t="s">
        <v>436</v>
      </c>
      <c r="AF35" s="126" t="s">
        <v>437</v>
      </c>
      <c r="AG35" s="126" t="s">
        <v>438</v>
      </c>
      <c r="AH35" s="126" t="s">
        <v>439</v>
      </c>
      <c r="BZ35" s="57"/>
    </row>
    <row r="36" spans="1:78" ht="15">
      <c r="N36" s="122" t="s">
        <v>91</v>
      </c>
      <c r="O36" s="126">
        <v>5622</v>
      </c>
      <c r="P36" s="126" t="s">
        <v>315</v>
      </c>
      <c r="Q36" s="126" t="s">
        <v>316</v>
      </c>
      <c r="R36" s="126" t="s">
        <v>317</v>
      </c>
      <c r="S36" s="126" t="s">
        <v>318</v>
      </c>
      <c r="V36" s="124" t="s">
        <v>258</v>
      </c>
      <c r="W36" s="137"/>
      <c r="X36" s="137"/>
      <c r="Y36" s="137"/>
      <c r="Z36" s="137"/>
      <c r="AA36" s="137"/>
      <c r="AC36" s="122" t="s">
        <v>440</v>
      </c>
      <c r="AD36" s="126">
        <v>153</v>
      </c>
      <c r="AE36" s="126">
        <v>140</v>
      </c>
      <c r="AF36" s="126">
        <v>293</v>
      </c>
      <c r="AG36" s="126">
        <v>290</v>
      </c>
      <c r="AH36" s="126">
        <v>347</v>
      </c>
      <c r="BZ36" s="57"/>
    </row>
    <row r="37" spans="1:78" ht="15">
      <c r="N37" s="122" t="s">
        <v>319</v>
      </c>
      <c r="O37" s="126" t="s">
        <v>320</v>
      </c>
      <c r="P37" s="126" t="s">
        <v>321</v>
      </c>
      <c r="Q37" s="126" t="s">
        <v>322</v>
      </c>
      <c r="R37" s="126" t="s">
        <v>323</v>
      </c>
      <c r="S37" s="126" t="s">
        <v>324</v>
      </c>
      <c r="V37" s="122" t="s">
        <v>259</v>
      </c>
      <c r="W37" s="137" t="s">
        <v>260</v>
      </c>
      <c r="X37" s="137" t="s">
        <v>261</v>
      </c>
      <c r="Y37" s="137" t="s">
        <v>262</v>
      </c>
      <c r="Z37" s="137" t="s">
        <v>263</v>
      </c>
      <c r="AA37" s="137" t="s">
        <v>264</v>
      </c>
      <c r="AC37" s="122" t="s">
        <v>201</v>
      </c>
      <c r="AD37" s="126">
        <v>562</v>
      </c>
      <c r="AE37" s="126" t="s">
        <v>441</v>
      </c>
      <c r="AF37" s="126">
        <v>45</v>
      </c>
      <c r="AG37" s="126" t="s">
        <v>442</v>
      </c>
      <c r="AH37" s="126">
        <v>-513</v>
      </c>
      <c r="BZ37" s="57"/>
    </row>
    <row r="38" spans="1:78" ht="15">
      <c r="N38" s="124" t="s">
        <v>93</v>
      </c>
      <c r="O38" s="128" t="s">
        <v>325</v>
      </c>
      <c r="P38" s="128" t="s">
        <v>326</v>
      </c>
      <c r="Q38" s="128" t="s">
        <v>327</v>
      </c>
      <c r="R38" s="128" t="s">
        <v>328</v>
      </c>
      <c r="S38" s="128" t="s">
        <v>329</v>
      </c>
      <c r="V38" s="123" t="s">
        <v>265</v>
      </c>
      <c r="W38" s="138" t="s">
        <v>260</v>
      </c>
      <c r="X38" s="138" t="s">
        <v>261</v>
      </c>
      <c r="Y38" s="138" t="s">
        <v>262</v>
      </c>
      <c r="Z38" s="138" t="s">
        <v>263</v>
      </c>
      <c r="AA38" s="138" t="s">
        <v>264</v>
      </c>
      <c r="AC38" s="124" t="s">
        <v>95</v>
      </c>
      <c r="AD38" s="128" t="s">
        <v>443</v>
      </c>
      <c r="AE38" s="128" t="s">
        <v>444</v>
      </c>
      <c r="AF38" s="128" t="s">
        <v>445</v>
      </c>
      <c r="AG38" s="128" t="s">
        <v>446</v>
      </c>
      <c r="AH38" s="128" t="s">
        <v>447</v>
      </c>
      <c r="BZ38" s="57"/>
    </row>
    <row r="39" spans="1:78" ht="15">
      <c r="N39" s="122" t="s">
        <v>330</v>
      </c>
      <c r="O39" s="126" t="s">
        <v>331</v>
      </c>
      <c r="P39" s="126" t="s">
        <v>332</v>
      </c>
      <c r="Q39" s="126" t="s">
        <v>333</v>
      </c>
      <c r="R39" s="126" t="s">
        <v>334</v>
      </c>
      <c r="S39" s="126" t="s">
        <v>335</v>
      </c>
      <c r="V39" s="124" t="s">
        <v>266</v>
      </c>
      <c r="W39" s="139" t="s">
        <v>267</v>
      </c>
      <c r="X39" s="139" t="s">
        <v>268</v>
      </c>
      <c r="Y39" s="139" t="s">
        <v>269</v>
      </c>
      <c r="Z39" s="139" t="s">
        <v>270</v>
      </c>
      <c r="AA39" s="139" t="s">
        <v>271</v>
      </c>
      <c r="AC39" s="124"/>
      <c r="AD39" s="130"/>
      <c r="AE39" s="131"/>
      <c r="AF39" s="130"/>
      <c r="AG39" s="131"/>
      <c r="AH39" s="130"/>
      <c r="BZ39" s="57"/>
    </row>
    <row r="40" spans="1:78" ht="15">
      <c r="A40" s="56" t="s">
        <v>120</v>
      </c>
      <c r="N40" s="123" t="s">
        <v>336</v>
      </c>
      <c r="O40" s="127" t="s">
        <v>331</v>
      </c>
      <c r="P40" s="127" t="s">
        <v>332</v>
      </c>
      <c r="Q40" s="127" t="s">
        <v>333</v>
      </c>
      <c r="R40" s="127" t="s">
        <v>334</v>
      </c>
      <c r="S40" s="127" t="s">
        <v>335</v>
      </c>
      <c r="V40" s="124"/>
      <c r="W40" s="140"/>
      <c r="X40" s="141"/>
      <c r="Y40" s="140"/>
      <c r="Z40" s="141"/>
      <c r="AA40" s="141"/>
      <c r="AC40" s="124" t="s">
        <v>448</v>
      </c>
      <c r="AD40" s="126"/>
      <c r="AE40" s="126"/>
      <c r="AF40" s="126"/>
      <c r="AG40" s="126"/>
      <c r="AH40" s="126"/>
      <c r="BZ40" s="57"/>
    </row>
    <row r="41" spans="1:78" s="61" customFormat="1" ht="15">
      <c r="A41" s="59" t="s">
        <v>108</v>
      </c>
      <c r="B41" s="60">
        <v>44104</v>
      </c>
      <c r="C41" s="60">
        <v>44196</v>
      </c>
      <c r="D41" s="60">
        <v>44286</v>
      </c>
      <c r="E41" s="60">
        <v>44377</v>
      </c>
      <c r="F41" s="60">
        <v>44469</v>
      </c>
      <c r="G41" s="60">
        <v>44561</v>
      </c>
      <c r="H41" s="60">
        <v>44651</v>
      </c>
      <c r="I41" s="60">
        <v>44742</v>
      </c>
      <c r="J41" s="60">
        <v>44834</v>
      </c>
      <c r="K41" s="60">
        <v>44926</v>
      </c>
      <c r="N41" s="123" t="s">
        <v>156</v>
      </c>
      <c r="O41" s="127" t="s">
        <v>337</v>
      </c>
      <c r="P41" s="127" t="s">
        <v>338</v>
      </c>
      <c r="Q41" s="127" t="s">
        <v>339</v>
      </c>
      <c r="R41" s="127" t="s">
        <v>340</v>
      </c>
      <c r="S41" s="127" t="s">
        <v>286</v>
      </c>
      <c r="T41" s="107"/>
      <c r="U41" s="107"/>
      <c r="V41" s="124" t="s">
        <v>272</v>
      </c>
      <c r="W41" s="137"/>
      <c r="X41" s="137"/>
      <c r="Y41" s="137"/>
      <c r="Z41" s="137"/>
      <c r="AA41" s="137"/>
      <c r="AB41" s="107"/>
      <c r="AC41" s="122" t="s">
        <v>449</v>
      </c>
      <c r="AD41" s="126" t="s">
        <v>451</v>
      </c>
      <c r="AE41" s="126" t="s">
        <v>452</v>
      </c>
      <c r="AF41" s="126">
        <v>-695</v>
      </c>
      <c r="AG41" s="126">
        <v>-758</v>
      </c>
      <c r="AH41" s="126">
        <v>-969</v>
      </c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</row>
    <row r="42" spans="1:78" ht="15">
      <c r="A42" s="57" t="s">
        <v>74</v>
      </c>
      <c r="B42" s="58">
        <v>5350.23</v>
      </c>
      <c r="C42" s="58">
        <v>6788.47</v>
      </c>
      <c r="D42" s="58">
        <v>6651.43</v>
      </c>
      <c r="E42" s="58">
        <v>5585.36</v>
      </c>
      <c r="F42" s="58">
        <v>7096.01</v>
      </c>
      <c r="G42" s="58">
        <v>8527.24</v>
      </c>
      <c r="H42" s="58">
        <v>7892.67</v>
      </c>
      <c r="I42" s="58">
        <v>8606.94</v>
      </c>
      <c r="J42" s="58">
        <v>8457.57</v>
      </c>
      <c r="K42" s="58">
        <v>8636.74</v>
      </c>
      <c r="N42" s="122" t="s">
        <v>153</v>
      </c>
      <c r="O42" s="126">
        <v>283</v>
      </c>
      <c r="P42" s="126">
        <v>274</v>
      </c>
      <c r="Q42" s="126">
        <v>269</v>
      </c>
      <c r="R42" s="126">
        <v>286</v>
      </c>
      <c r="S42" s="126">
        <v>274</v>
      </c>
      <c r="V42" s="122" t="s">
        <v>273</v>
      </c>
      <c r="W42" s="137">
        <v>124</v>
      </c>
      <c r="X42" s="137">
        <v>-14</v>
      </c>
      <c r="Y42" s="137">
        <v>-262</v>
      </c>
      <c r="Z42" s="137">
        <v>-205</v>
      </c>
      <c r="AA42" s="137">
        <v>6</v>
      </c>
      <c r="AC42" s="122" t="s">
        <v>453</v>
      </c>
      <c r="AD42" s="126">
        <v>855</v>
      </c>
      <c r="AE42" s="126">
        <v>58</v>
      </c>
      <c r="AF42" s="126" t="s">
        <v>454</v>
      </c>
      <c r="AG42" s="126">
        <v>-766</v>
      </c>
      <c r="AH42" s="126" t="s">
        <v>455</v>
      </c>
      <c r="BZ42" s="57"/>
    </row>
    <row r="43" spans="1:78" ht="15">
      <c r="A43" s="57" t="s">
        <v>121</v>
      </c>
      <c r="B43" s="58">
        <v>4085.03</v>
      </c>
      <c r="C43" s="58">
        <v>5000.58</v>
      </c>
      <c r="D43" s="58">
        <v>5333.17</v>
      </c>
      <c r="E43" s="58">
        <v>4674.32</v>
      </c>
      <c r="F43" s="58">
        <v>6191.56</v>
      </c>
      <c r="G43" s="58">
        <v>6984.93</v>
      </c>
      <c r="H43" s="58">
        <v>6449.38</v>
      </c>
      <c r="I43" s="58">
        <v>7050.99</v>
      </c>
      <c r="J43" s="58">
        <v>7229.87</v>
      </c>
      <c r="K43" s="58">
        <v>7025.31</v>
      </c>
      <c r="N43" s="122" t="s">
        <v>341</v>
      </c>
      <c r="O43" s="126">
        <v>154</v>
      </c>
      <c r="P43" s="126">
        <v>223</v>
      </c>
      <c r="Q43" s="126">
        <v>242</v>
      </c>
      <c r="R43" s="126">
        <v>284</v>
      </c>
      <c r="S43" s="126">
        <v>281</v>
      </c>
      <c r="V43" s="122" t="s">
        <v>274</v>
      </c>
      <c r="W43" s="137">
        <v>0</v>
      </c>
      <c r="X43" s="137">
        <v>-405</v>
      </c>
      <c r="Y43" s="137">
        <v>-299</v>
      </c>
      <c r="Z43" s="137">
        <v>0</v>
      </c>
      <c r="AA43" s="137">
        <v>0</v>
      </c>
      <c r="AC43" s="124" t="s">
        <v>96</v>
      </c>
      <c r="AD43" s="128">
        <v>-264</v>
      </c>
      <c r="AE43" s="128" t="s">
        <v>450</v>
      </c>
      <c r="AF43" s="128" t="s">
        <v>456</v>
      </c>
      <c r="AG43" s="128" t="s">
        <v>457</v>
      </c>
      <c r="AH43" s="128">
        <v>564</v>
      </c>
      <c r="BZ43" s="57"/>
    </row>
    <row r="44" spans="1:78" ht="15">
      <c r="A44" s="57" t="s">
        <v>116</v>
      </c>
      <c r="B44" s="58">
        <v>94.41</v>
      </c>
      <c r="C44" s="58">
        <v>123.17</v>
      </c>
      <c r="D44" s="58">
        <v>81.260000000000005</v>
      </c>
      <c r="E44" s="58">
        <v>89.61</v>
      </c>
      <c r="F44" s="58">
        <v>148.4</v>
      </c>
      <c r="G44" s="58">
        <v>86.77</v>
      </c>
      <c r="H44" s="58">
        <v>-26.38</v>
      </c>
      <c r="I44" s="58">
        <v>87.52</v>
      </c>
      <c r="J44" s="58">
        <v>117.56</v>
      </c>
      <c r="K44" s="58">
        <v>122.21</v>
      </c>
      <c r="N44" s="122" t="s">
        <v>342</v>
      </c>
      <c r="O44" s="126" t="s">
        <v>343</v>
      </c>
      <c r="P44" s="126" t="s">
        <v>344</v>
      </c>
      <c r="Q44" s="126" t="s">
        <v>345</v>
      </c>
      <c r="R44" s="126" t="s">
        <v>346</v>
      </c>
      <c r="S44" s="126" t="s">
        <v>347</v>
      </c>
      <c r="V44" s="122" t="s">
        <v>275</v>
      </c>
      <c r="W44" s="137">
        <v>-95</v>
      </c>
      <c r="X44" s="137">
        <v>191</v>
      </c>
      <c r="Y44" s="137">
        <v>36</v>
      </c>
      <c r="Z44" s="137">
        <v>181</v>
      </c>
      <c r="AA44" s="137">
        <v>280</v>
      </c>
      <c r="AC44" s="124"/>
      <c r="AD44" s="129"/>
      <c r="AE44" s="131"/>
      <c r="AF44" s="131"/>
      <c r="AG44" s="130"/>
      <c r="AH44" s="129"/>
      <c r="BZ44" s="57"/>
    </row>
    <row r="45" spans="1:78" ht="15">
      <c r="A45" s="57" t="s">
        <v>78</v>
      </c>
      <c r="B45" s="58">
        <v>193.58</v>
      </c>
      <c r="C45" s="58">
        <v>193.17</v>
      </c>
      <c r="D45" s="58">
        <v>213.35</v>
      </c>
      <c r="E45" s="58">
        <v>200.59</v>
      </c>
      <c r="F45" s="58">
        <v>202.75</v>
      </c>
      <c r="G45" s="58">
        <v>207.91</v>
      </c>
      <c r="H45" s="58">
        <v>205.11</v>
      </c>
      <c r="I45" s="58">
        <v>208.1</v>
      </c>
      <c r="J45" s="58">
        <v>215.7</v>
      </c>
      <c r="K45" s="58">
        <v>214.05</v>
      </c>
      <c r="N45" s="122" t="s">
        <v>89</v>
      </c>
      <c r="O45" s="126">
        <v>154</v>
      </c>
      <c r="P45" s="126">
        <v>223</v>
      </c>
      <c r="Q45" s="126">
        <v>242</v>
      </c>
      <c r="R45" s="126">
        <v>284</v>
      </c>
      <c r="S45" s="126">
        <v>281</v>
      </c>
      <c r="V45" s="124" t="s">
        <v>423</v>
      </c>
      <c r="W45" s="139" t="s">
        <v>424</v>
      </c>
      <c r="X45" s="139" t="s">
        <v>425</v>
      </c>
      <c r="Y45" s="139" t="s">
        <v>426</v>
      </c>
      <c r="Z45" s="139" t="s">
        <v>427</v>
      </c>
      <c r="AA45" s="139" t="s">
        <v>428</v>
      </c>
      <c r="AC45" s="124" t="s">
        <v>458</v>
      </c>
      <c r="AD45" s="126"/>
      <c r="AE45" s="126"/>
      <c r="AF45" s="126"/>
      <c r="AG45" s="126"/>
      <c r="AH45" s="126"/>
      <c r="BZ45" s="57"/>
    </row>
    <row r="46" spans="1:78" ht="15">
      <c r="A46" s="57" t="s">
        <v>77</v>
      </c>
      <c r="B46" s="62">
        <v>20.51</v>
      </c>
      <c r="C46" s="62">
        <v>21.13</v>
      </c>
      <c r="D46" s="62">
        <v>29.86</v>
      </c>
      <c r="E46" s="62">
        <v>21.48</v>
      </c>
      <c r="F46" s="62">
        <v>23.86</v>
      </c>
      <c r="G46" s="62">
        <v>27.45</v>
      </c>
      <c r="H46" s="62">
        <v>22.62</v>
      </c>
      <c r="I46" s="62">
        <v>28.75</v>
      </c>
      <c r="J46" s="62">
        <v>35.4</v>
      </c>
      <c r="K46" s="62">
        <v>41.39</v>
      </c>
      <c r="N46" s="124" t="s">
        <v>94</v>
      </c>
      <c r="O46" s="128" t="s">
        <v>348</v>
      </c>
      <c r="P46" s="128" t="s">
        <v>349</v>
      </c>
      <c r="Q46" s="128" t="s">
        <v>350</v>
      </c>
      <c r="R46" s="128" t="s">
        <v>351</v>
      </c>
      <c r="S46" s="128" t="s">
        <v>352</v>
      </c>
      <c r="V46" s="124"/>
      <c r="W46" s="140"/>
      <c r="X46" s="141"/>
      <c r="Y46" s="140"/>
      <c r="Z46" s="141"/>
      <c r="AA46" s="141"/>
      <c r="AC46" s="122" t="s">
        <v>459</v>
      </c>
      <c r="AD46" s="126" t="s">
        <v>460</v>
      </c>
      <c r="AE46" s="126" t="s">
        <v>461</v>
      </c>
      <c r="AF46" s="126">
        <v>564</v>
      </c>
      <c r="AG46" s="126" t="s">
        <v>462</v>
      </c>
      <c r="AH46" s="126" t="s">
        <v>463</v>
      </c>
      <c r="BZ46" s="57"/>
    </row>
    <row r="47" spans="1:78" ht="15">
      <c r="A47" s="57" t="s">
        <v>117</v>
      </c>
      <c r="B47" s="58">
        <v>1145.52</v>
      </c>
      <c r="C47" s="58">
        <v>1696.76</v>
      </c>
      <c r="D47" s="58">
        <v>1156.31</v>
      </c>
      <c r="E47" s="58">
        <v>778.58</v>
      </c>
      <c r="F47" s="58">
        <v>826.24</v>
      </c>
      <c r="G47" s="58">
        <v>1393.72</v>
      </c>
      <c r="H47" s="58">
        <v>1189.18</v>
      </c>
      <c r="I47" s="58">
        <v>1406.62</v>
      </c>
      <c r="J47" s="58">
        <v>1094.1600000000001</v>
      </c>
      <c r="K47" s="58">
        <v>1478.2</v>
      </c>
      <c r="N47" s="124"/>
      <c r="O47" s="130"/>
      <c r="P47" s="130"/>
      <c r="Q47" s="130"/>
      <c r="R47" s="130"/>
      <c r="S47" s="131"/>
      <c r="V47" s="124" t="s">
        <v>276</v>
      </c>
      <c r="W47" s="137"/>
      <c r="X47" s="137"/>
      <c r="Y47" s="137"/>
      <c r="Z47" s="137"/>
      <c r="AA47" s="137"/>
      <c r="AC47" s="122" t="s">
        <v>464</v>
      </c>
      <c r="AD47" s="126">
        <v>-358</v>
      </c>
      <c r="AE47" s="126" t="s">
        <v>465</v>
      </c>
      <c r="AF47" s="126">
        <v>-249</v>
      </c>
      <c r="AG47" s="126">
        <v>15</v>
      </c>
      <c r="AH47" s="126">
        <v>-504</v>
      </c>
      <c r="BZ47" s="57"/>
    </row>
    <row r="48" spans="1:78" ht="15">
      <c r="A48" s="57" t="s">
        <v>79</v>
      </c>
      <c r="B48" s="58">
        <v>293.62</v>
      </c>
      <c r="C48" s="58">
        <v>431.41</v>
      </c>
      <c r="D48" s="58">
        <v>286.42</v>
      </c>
      <c r="E48" s="58">
        <v>204.28</v>
      </c>
      <c r="F48" s="58">
        <v>221.07</v>
      </c>
      <c r="G48" s="58">
        <v>362.43</v>
      </c>
      <c r="H48" s="58">
        <v>315.13</v>
      </c>
      <c r="I48" s="58">
        <v>370.59</v>
      </c>
      <c r="J48" s="58">
        <v>290.33</v>
      </c>
      <c r="K48" s="58">
        <v>381.14</v>
      </c>
      <c r="N48" s="124" t="s">
        <v>417</v>
      </c>
      <c r="O48" s="126"/>
      <c r="P48" s="126"/>
      <c r="Q48" s="126"/>
      <c r="R48" s="126"/>
      <c r="S48" s="126"/>
      <c r="V48" s="122" t="s">
        <v>277</v>
      </c>
      <c r="W48" s="137">
        <v>-772</v>
      </c>
      <c r="X48" s="137">
        <v>-348</v>
      </c>
      <c r="Y48" s="137">
        <v>-934</v>
      </c>
      <c r="Z48" s="137">
        <v>-605</v>
      </c>
      <c r="AA48" s="137" t="s">
        <v>281</v>
      </c>
      <c r="AC48" s="122" t="s">
        <v>466</v>
      </c>
      <c r="AD48" s="126" t="s">
        <v>468</v>
      </c>
      <c r="AE48" s="126" t="s">
        <v>469</v>
      </c>
      <c r="AF48" s="126" t="s">
        <v>470</v>
      </c>
      <c r="AG48" s="126" t="s">
        <v>471</v>
      </c>
      <c r="AH48" s="126" t="s">
        <v>472</v>
      </c>
      <c r="BZ48" s="57"/>
    </row>
    <row r="49" spans="1:78" ht="15">
      <c r="A49" s="57" t="s">
        <v>118</v>
      </c>
      <c r="B49" s="58">
        <v>830.37</v>
      </c>
      <c r="C49" s="58">
        <v>1238.3399999999999</v>
      </c>
      <c r="D49" s="58">
        <v>852.13</v>
      </c>
      <c r="E49" s="58">
        <v>568.5</v>
      </c>
      <c r="F49" s="58">
        <v>595.96</v>
      </c>
      <c r="G49" s="58">
        <v>1015.69</v>
      </c>
      <c r="H49" s="58">
        <v>850.42</v>
      </c>
      <c r="I49" s="58">
        <v>1016.93</v>
      </c>
      <c r="J49" s="58">
        <v>782.71</v>
      </c>
      <c r="K49" s="58">
        <v>1072.67</v>
      </c>
      <c r="N49" s="122" t="s">
        <v>418</v>
      </c>
      <c r="O49" s="126" t="s">
        <v>353</v>
      </c>
      <c r="P49" s="126" t="s">
        <v>354</v>
      </c>
      <c r="Q49" s="126" t="s">
        <v>355</v>
      </c>
      <c r="R49" s="126" t="s">
        <v>307</v>
      </c>
      <c r="S49" s="126" t="s">
        <v>356</v>
      </c>
      <c r="V49" s="124" t="s">
        <v>278</v>
      </c>
      <c r="W49" s="139" t="s">
        <v>282</v>
      </c>
      <c r="X49" s="139" t="s">
        <v>283</v>
      </c>
      <c r="Y49" s="139" t="s">
        <v>284</v>
      </c>
      <c r="Z49" s="139" t="s">
        <v>285</v>
      </c>
      <c r="AA49" s="139" t="s">
        <v>287</v>
      </c>
      <c r="AC49" s="122" t="s">
        <v>473</v>
      </c>
      <c r="AD49" s="126">
        <v>-17</v>
      </c>
      <c r="AE49" s="126">
        <v>-58</v>
      </c>
      <c r="AF49" s="126">
        <v>-136</v>
      </c>
      <c r="AG49" s="126">
        <v>-151</v>
      </c>
      <c r="AH49" s="126">
        <v>-102</v>
      </c>
      <c r="BZ49" s="57"/>
    </row>
    <row r="50" spans="1:78" ht="15">
      <c r="A50" s="57" t="s">
        <v>122</v>
      </c>
      <c r="B50" s="58">
        <v>1265.2</v>
      </c>
      <c r="C50" s="58">
        <v>1787.89</v>
      </c>
      <c r="D50" s="58">
        <v>1318.26</v>
      </c>
      <c r="E50" s="58">
        <v>911.04</v>
      </c>
      <c r="F50" s="58">
        <v>904.45</v>
      </c>
      <c r="G50" s="58">
        <v>1542.31</v>
      </c>
      <c r="H50" s="58">
        <v>1443.29</v>
      </c>
      <c r="I50" s="58">
        <v>1555.95</v>
      </c>
      <c r="J50" s="58">
        <v>1227.7</v>
      </c>
      <c r="K50" s="58">
        <v>1611.43</v>
      </c>
      <c r="N50" s="122" t="s">
        <v>357</v>
      </c>
      <c r="O50" s="126" t="s">
        <v>359</v>
      </c>
      <c r="P50" s="126" t="s">
        <v>360</v>
      </c>
      <c r="Q50" s="126" t="s">
        <v>361</v>
      </c>
      <c r="R50" s="126" t="s">
        <v>362</v>
      </c>
      <c r="S50" s="126" t="s">
        <v>363</v>
      </c>
      <c r="V50" s="124" t="s">
        <v>279</v>
      </c>
      <c r="W50" s="139" t="s">
        <v>282</v>
      </c>
      <c r="X50" s="139" t="s">
        <v>283</v>
      </c>
      <c r="Y50" s="139" t="s">
        <v>284</v>
      </c>
      <c r="Z50" s="139" t="s">
        <v>285</v>
      </c>
      <c r="AA50" s="139" t="s">
        <v>287</v>
      </c>
      <c r="AC50" s="124" t="s">
        <v>97</v>
      </c>
      <c r="AD50" s="128" t="s">
        <v>474</v>
      </c>
      <c r="AE50" s="128" t="s">
        <v>475</v>
      </c>
      <c r="AF50" s="128" t="s">
        <v>476</v>
      </c>
      <c r="AG50" s="128" t="s">
        <v>477</v>
      </c>
      <c r="AH50" s="128" t="s">
        <v>478</v>
      </c>
      <c r="BZ50" s="57"/>
    </row>
    <row r="51" spans="1:78" ht="15">
      <c r="A51" s="57" t="s">
        <v>76</v>
      </c>
      <c r="B51" s="57">
        <f>B49+B48+B46+B45</f>
        <v>1338.08</v>
      </c>
      <c r="C51" s="57">
        <f t="shared" ref="C51:K51" si="2">C49+C48+C46+C45</f>
        <v>1884.0500000000002</v>
      </c>
      <c r="D51" s="57">
        <f t="shared" si="2"/>
        <v>1381.7599999999998</v>
      </c>
      <c r="E51" s="57">
        <f t="shared" si="2"/>
        <v>994.85</v>
      </c>
      <c r="F51" s="57">
        <f t="shared" si="2"/>
        <v>1043.6399999999999</v>
      </c>
      <c r="G51" s="57">
        <f t="shared" si="2"/>
        <v>1613.4800000000002</v>
      </c>
      <c r="H51" s="57">
        <f t="shared" si="2"/>
        <v>1393.2799999999997</v>
      </c>
      <c r="I51" s="57">
        <f t="shared" si="2"/>
        <v>1624.37</v>
      </c>
      <c r="J51" s="57">
        <f t="shared" si="2"/>
        <v>1324.14</v>
      </c>
      <c r="K51" s="57">
        <f t="shared" si="2"/>
        <v>1709.25</v>
      </c>
      <c r="N51" s="122" t="s">
        <v>364</v>
      </c>
      <c r="O51" s="126">
        <v>9</v>
      </c>
      <c r="P51" s="126">
        <v>248</v>
      </c>
      <c r="Q51" s="126">
        <v>2</v>
      </c>
      <c r="R51" s="126">
        <v>10</v>
      </c>
      <c r="S51" s="126">
        <v>6</v>
      </c>
      <c r="V51" s="124"/>
      <c r="W51" s="140"/>
      <c r="X51" s="141"/>
      <c r="Y51" s="140"/>
      <c r="Z51" s="140"/>
      <c r="AA51" s="141"/>
      <c r="AC51" s="124"/>
      <c r="AD51" s="131"/>
      <c r="AE51" s="129"/>
      <c r="AF51" s="129"/>
      <c r="AG51" s="131"/>
      <c r="AH51" s="131"/>
      <c r="BZ51" s="57"/>
    </row>
    <row r="52" spans="1:78" ht="15">
      <c r="N52" s="122" t="s">
        <v>365</v>
      </c>
      <c r="O52" s="126">
        <v>6</v>
      </c>
      <c r="P52" s="126">
        <v>3</v>
      </c>
      <c r="Q52" s="126">
        <v>0</v>
      </c>
      <c r="R52" s="126">
        <v>500</v>
      </c>
      <c r="S52" s="126">
        <v>0</v>
      </c>
      <c r="V52" s="122" t="s">
        <v>280</v>
      </c>
      <c r="W52" s="137">
        <v>2.4900000000000002</v>
      </c>
      <c r="X52" s="137">
        <v>1.6</v>
      </c>
      <c r="Y52" s="137">
        <v>3.56</v>
      </c>
      <c r="Z52" s="137">
        <v>3.75</v>
      </c>
      <c r="AA52" s="137">
        <v>3.23</v>
      </c>
      <c r="AC52" s="124" t="s">
        <v>479</v>
      </c>
      <c r="AD52" s="126"/>
      <c r="AE52" s="126"/>
      <c r="AF52" s="126"/>
      <c r="AG52" s="126"/>
      <c r="AH52" s="126"/>
      <c r="BZ52" s="57"/>
    </row>
    <row r="53" spans="1:78" ht="18">
      <c r="N53" s="122" t="s">
        <v>366</v>
      </c>
      <c r="O53" s="126">
        <v>968</v>
      </c>
      <c r="P53" s="126" t="s">
        <v>367</v>
      </c>
      <c r="Q53" s="126">
        <v>664</v>
      </c>
      <c r="R53" s="126">
        <v>619</v>
      </c>
      <c r="S53" s="126">
        <v>769</v>
      </c>
      <c r="V53" s="132"/>
      <c r="W53" s="119"/>
      <c r="X53" s="120"/>
      <c r="Y53" s="119"/>
      <c r="Z53" s="119"/>
      <c r="AA53" s="120"/>
      <c r="AC53" s="122" t="s">
        <v>480</v>
      </c>
      <c r="AD53" s="126">
        <v>-129</v>
      </c>
      <c r="AE53" s="126">
        <v>-66</v>
      </c>
      <c r="AF53" s="126">
        <v>143</v>
      </c>
      <c r="AG53" s="126">
        <v>-143</v>
      </c>
      <c r="AH53" s="126">
        <v>-91</v>
      </c>
      <c r="BZ53" s="57"/>
    </row>
    <row r="54" spans="1:78" ht="15">
      <c r="N54" s="124" t="s">
        <v>169</v>
      </c>
      <c r="O54" s="128" t="s">
        <v>368</v>
      </c>
      <c r="P54" s="128" t="s">
        <v>369</v>
      </c>
      <c r="Q54" s="128" t="s">
        <v>370</v>
      </c>
      <c r="R54" s="128" t="s">
        <v>371</v>
      </c>
      <c r="S54" s="128" t="s">
        <v>372</v>
      </c>
      <c r="AC54" s="124" t="s">
        <v>481</v>
      </c>
      <c r="AD54" s="128">
        <v>217</v>
      </c>
      <c r="AE54" s="128" t="s">
        <v>482</v>
      </c>
      <c r="AF54" s="128" t="s">
        <v>483</v>
      </c>
      <c r="AG54" s="128" t="s">
        <v>484</v>
      </c>
      <c r="AH54" s="128" t="s">
        <v>467</v>
      </c>
      <c r="BZ54" s="57"/>
    </row>
    <row r="55" spans="1:78" ht="15">
      <c r="A55" s="56" t="s">
        <v>123</v>
      </c>
      <c r="N55" s="122" t="s">
        <v>373</v>
      </c>
      <c r="O55" s="126" t="s">
        <v>374</v>
      </c>
      <c r="P55" s="126" t="s">
        <v>375</v>
      </c>
      <c r="Q55" s="126" t="s">
        <v>376</v>
      </c>
      <c r="R55" s="126" t="s">
        <v>377</v>
      </c>
      <c r="S55" s="207">
        <v>8927</v>
      </c>
      <c r="AC55" s="124"/>
      <c r="AD55" s="131"/>
      <c r="AE55" s="134"/>
      <c r="AF55" s="131"/>
      <c r="AG55" s="129"/>
      <c r="AH55" s="130"/>
      <c r="BZ55" s="57"/>
    </row>
    <row r="56" spans="1:78" s="61" customFormat="1" ht="15">
      <c r="A56" s="59" t="s">
        <v>108</v>
      </c>
      <c r="B56" s="60">
        <v>41364</v>
      </c>
      <c r="C56" s="60">
        <v>41729</v>
      </c>
      <c r="D56" s="60">
        <v>42094</v>
      </c>
      <c r="E56" s="60">
        <v>42460</v>
      </c>
      <c r="F56" s="60">
        <v>42825</v>
      </c>
      <c r="G56" s="60">
        <v>43190</v>
      </c>
      <c r="H56" s="60">
        <v>43555</v>
      </c>
      <c r="I56" s="60">
        <v>43921</v>
      </c>
      <c r="J56" s="60">
        <v>44286</v>
      </c>
      <c r="K56" s="60">
        <v>44651</v>
      </c>
      <c r="N56" s="122" t="s">
        <v>378</v>
      </c>
      <c r="O56" s="126" t="s">
        <v>379</v>
      </c>
      <c r="P56" s="126" t="s">
        <v>380</v>
      </c>
      <c r="Q56" s="126" t="s">
        <v>381</v>
      </c>
      <c r="R56" s="126" t="s">
        <v>382</v>
      </c>
      <c r="S56" s="126" t="s">
        <v>358</v>
      </c>
      <c r="T56" s="107"/>
      <c r="U56" s="107"/>
      <c r="V56" s="107"/>
      <c r="W56" s="107"/>
      <c r="X56" s="107"/>
      <c r="Y56" s="107"/>
      <c r="Z56" s="107"/>
      <c r="AA56" s="107"/>
      <c r="AB56" s="107"/>
      <c r="AC56" s="124" t="s">
        <v>485</v>
      </c>
      <c r="AD56" s="126"/>
      <c r="AE56" s="126"/>
      <c r="AF56" s="126"/>
      <c r="AG56" s="126"/>
      <c r="AH56" s="126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</row>
    <row r="57" spans="1:78" ht="15">
      <c r="A57" s="57" t="s">
        <v>82</v>
      </c>
      <c r="B57" s="58">
        <v>95.92</v>
      </c>
      <c r="C57" s="58">
        <v>95.92</v>
      </c>
      <c r="D57" s="58">
        <v>95.92</v>
      </c>
      <c r="E57" s="58">
        <v>95.92</v>
      </c>
      <c r="F57" s="58">
        <v>95.92</v>
      </c>
      <c r="G57" s="58">
        <v>95.92</v>
      </c>
      <c r="H57" s="58">
        <v>95.92</v>
      </c>
      <c r="I57" s="58">
        <v>95.92</v>
      </c>
      <c r="J57" s="58">
        <v>95.92</v>
      </c>
      <c r="K57" s="58">
        <v>95.92</v>
      </c>
      <c r="N57" s="122" t="s">
        <v>85</v>
      </c>
      <c r="O57" s="126">
        <v>2</v>
      </c>
      <c r="P57" s="126" t="s">
        <v>383</v>
      </c>
      <c r="Q57" s="126" t="s">
        <v>384</v>
      </c>
      <c r="R57" s="126" t="s">
        <v>385</v>
      </c>
      <c r="S57" s="126" t="s">
        <v>386</v>
      </c>
      <c r="AC57" s="124" t="s">
        <v>486</v>
      </c>
      <c r="AD57" s="128" t="s">
        <v>487</v>
      </c>
      <c r="AE57" s="128" t="s">
        <v>488</v>
      </c>
      <c r="AF57" s="128" t="s">
        <v>489</v>
      </c>
      <c r="AG57" s="128" t="s">
        <v>490</v>
      </c>
      <c r="AH57" s="128" t="s">
        <v>491</v>
      </c>
      <c r="BZ57" s="57"/>
    </row>
    <row r="58" spans="1:78" ht="18">
      <c r="A58" s="57" t="s">
        <v>83</v>
      </c>
      <c r="B58" s="58">
        <v>3288.37</v>
      </c>
      <c r="C58" s="58">
        <v>3943.3</v>
      </c>
      <c r="D58" s="58">
        <v>4646.4399999999996</v>
      </c>
      <c r="E58" s="58">
        <v>6428.9</v>
      </c>
      <c r="F58" s="58">
        <v>7507.97</v>
      </c>
      <c r="G58" s="58">
        <v>8314.31</v>
      </c>
      <c r="H58" s="58">
        <v>9374.6299999999992</v>
      </c>
      <c r="I58" s="58">
        <v>10034.24</v>
      </c>
      <c r="J58" s="58">
        <v>12710.37</v>
      </c>
      <c r="K58" s="58">
        <v>13715.64</v>
      </c>
      <c r="N58" s="124" t="s">
        <v>86</v>
      </c>
      <c r="O58" s="128" t="s">
        <v>387</v>
      </c>
      <c r="P58" s="128" t="s">
        <v>388</v>
      </c>
      <c r="Q58" s="128" t="s">
        <v>389</v>
      </c>
      <c r="R58" s="128" t="s">
        <v>390</v>
      </c>
      <c r="S58" s="128" t="s">
        <v>391</v>
      </c>
      <c r="AC58" s="121"/>
      <c r="AD58" s="119"/>
      <c r="AE58" s="120"/>
      <c r="AF58" s="121"/>
      <c r="AG58" s="120"/>
      <c r="AH58" s="121"/>
      <c r="BZ58" s="57"/>
    </row>
    <row r="59" spans="1:78" ht="15">
      <c r="A59" s="57" t="s">
        <v>84</v>
      </c>
      <c r="B59" s="62">
        <v>250.96</v>
      </c>
      <c r="C59" s="62">
        <v>249.15</v>
      </c>
      <c r="D59" s="62">
        <v>418.17</v>
      </c>
      <c r="E59" s="62">
        <v>323.29000000000002</v>
      </c>
      <c r="F59" s="62">
        <v>560.34</v>
      </c>
      <c r="G59" s="62">
        <v>533.42999999999995</v>
      </c>
      <c r="H59" s="62">
        <v>1319.6</v>
      </c>
      <c r="I59" s="62">
        <v>1118.5</v>
      </c>
      <c r="J59" s="62">
        <v>1093.1199999999999</v>
      </c>
      <c r="K59" s="62">
        <v>1586.88</v>
      </c>
      <c r="N59" s="124"/>
      <c r="O59" s="130"/>
      <c r="P59" s="130"/>
      <c r="Q59" s="130"/>
      <c r="R59" s="130"/>
      <c r="S59" s="128"/>
      <c r="BZ59" s="57"/>
    </row>
    <row r="60" spans="1:78" ht="15">
      <c r="A60" s="57" t="s">
        <v>85</v>
      </c>
      <c r="B60" s="58">
        <v>3149.25</v>
      </c>
      <c r="C60" s="58">
        <v>3787.03</v>
      </c>
      <c r="D60" s="58">
        <v>3753.97</v>
      </c>
      <c r="E60" s="58">
        <v>3710.92</v>
      </c>
      <c r="F60" s="58">
        <v>4240.96</v>
      </c>
      <c r="G60" s="58">
        <v>4819.82</v>
      </c>
      <c r="H60" s="58">
        <v>5458.69</v>
      </c>
      <c r="I60" s="58">
        <v>4889.3100000000004</v>
      </c>
      <c r="J60" s="58">
        <v>6455.93</v>
      </c>
      <c r="K60" s="58">
        <v>7559.99</v>
      </c>
      <c r="N60" s="124" t="s">
        <v>419</v>
      </c>
      <c r="O60" s="126"/>
      <c r="P60" s="126"/>
      <c r="Q60" s="126"/>
      <c r="R60" s="126"/>
      <c r="S60" s="126"/>
      <c r="BZ60" s="57"/>
    </row>
    <row r="61" spans="1:78" s="56" customFormat="1" ht="15">
      <c r="A61" s="56" t="s">
        <v>43</v>
      </c>
      <c r="B61" s="58">
        <v>6784.5</v>
      </c>
      <c r="C61" s="58">
        <v>8075.4</v>
      </c>
      <c r="D61" s="58">
        <v>8914.5</v>
      </c>
      <c r="E61" s="58">
        <v>10559.03</v>
      </c>
      <c r="F61" s="58">
        <v>12405.19</v>
      </c>
      <c r="G61" s="58">
        <v>13763.48</v>
      </c>
      <c r="H61" s="58">
        <v>16248.84</v>
      </c>
      <c r="I61" s="58">
        <v>16137.97</v>
      </c>
      <c r="J61" s="58">
        <v>20355.34</v>
      </c>
      <c r="K61" s="58">
        <v>22958.43</v>
      </c>
      <c r="N61" s="122" t="s">
        <v>420</v>
      </c>
      <c r="O61" s="126">
        <v>3</v>
      </c>
      <c r="P61" s="126">
        <v>3</v>
      </c>
      <c r="Q61" s="126">
        <v>3</v>
      </c>
      <c r="R61" s="126">
        <v>3</v>
      </c>
      <c r="S61" s="126">
        <v>3</v>
      </c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</row>
    <row r="62" spans="1:78" ht="15">
      <c r="A62" s="57" t="s">
        <v>124</v>
      </c>
      <c r="B62" s="58">
        <v>2440.9699999999998</v>
      </c>
      <c r="C62" s="58">
        <v>2561.58</v>
      </c>
      <c r="D62" s="58">
        <v>2660.04</v>
      </c>
      <c r="E62" s="58">
        <v>3416.35</v>
      </c>
      <c r="F62" s="58">
        <v>3303.74</v>
      </c>
      <c r="G62" s="58">
        <v>3732.24</v>
      </c>
      <c r="H62" s="58">
        <v>6496.56</v>
      </c>
      <c r="I62" s="58">
        <v>6272.31</v>
      </c>
      <c r="J62" s="58">
        <v>5858.52</v>
      </c>
      <c r="K62" s="58">
        <v>5519.06</v>
      </c>
      <c r="N62" s="122" t="s">
        <v>81</v>
      </c>
      <c r="O62" s="126" t="s">
        <v>392</v>
      </c>
      <c r="P62" s="126">
        <v>191</v>
      </c>
      <c r="Q62" s="126" t="s">
        <v>393</v>
      </c>
      <c r="R62" s="126" t="s">
        <v>394</v>
      </c>
      <c r="S62" s="126" t="s">
        <v>395</v>
      </c>
      <c r="BZ62" s="57"/>
    </row>
    <row r="63" spans="1:78" ht="15">
      <c r="A63" s="57" t="s">
        <v>87</v>
      </c>
      <c r="B63" s="58">
        <v>59.21</v>
      </c>
      <c r="C63" s="58">
        <v>71.599999999999994</v>
      </c>
      <c r="D63" s="58">
        <v>196</v>
      </c>
      <c r="E63" s="58">
        <v>106.59</v>
      </c>
      <c r="F63" s="58">
        <v>257.54000000000002</v>
      </c>
      <c r="G63" s="58">
        <v>1405.11</v>
      </c>
      <c r="H63" s="58">
        <v>209.67</v>
      </c>
      <c r="I63" s="58">
        <v>140.24</v>
      </c>
      <c r="J63" s="58">
        <v>182.98</v>
      </c>
      <c r="K63" s="58">
        <v>426.43</v>
      </c>
      <c r="N63" s="122" t="s">
        <v>396</v>
      </c>
      <c r="O63" s="126" t="s">
        <v>397</v>
      </c>
      <c r="P63" s="126" t="s">
        <v>398</v>
      </c>
      <c r="Q63" s="126" t="s">
        <v>399</v>
      </c>
      <c r="R63" s="126" t="s">
        <v>400</v>
      </c>
      <c r="S63" s="126" t="s">
        <v>401</v>
      </c>
      <c r="BZ63" s="57"/>
    </row>
    <row r="64" spans="1:78" ht="15">
      <c r="A64" s="57" t="s">
        <v>88</v>
      </c>
      <c r="B64" s="58">
        <v>295.68</v>
      </c>
      <c r="C64" s="62">
        <v>1423.55</v>
      </c>
      <c r="D64" s="58">
        <v>1587.79</v>
      </c>
      <c r="E64" s="58">
        <v>2712.13</v>
      </c>
      <c r="F64" s="58">
        <v>2651.99</v>
      </c>
      <c r="G64" s="58">
        <v>2140.6999999999998</v>
      </c>
      <c r="H64" s="58">
        <v>2568.58</v>
      </c>
      <c r="I64" s="58">
        <v>2018.85</v>
      </c>
      <c r="J64" s="58">
        <v>4736.8</v>
      </c>
      <c r="K64" s="58">
        <v>3247.53</v>
      </c>
      <c r="N64" s="122" t="s">
        <v>402</v>
      </c>
      <c r="O64" s="126">
        <v>231</v>
      </c>
      <c r="P64" s="126">
        <v>56</v>
      </c>
      <c r="Q64" s="126">
        <v>380</v>
      </c>
      <c r="R64" s="126">
        <v>318</v>
      </c>
      <c r="S64" s="126">
        <v>231</v>
      </c>
      <c r="BZ64" s="57"/>
    </row>
    <row r="65" spans="1:78" ht="15">
      <c r="A65" s="57" t="s">
        <v>89</v>
      </c>
      <c r="B65" s="58">
        <v>3988.64</v>
      </c>
      <c r="C65" s="58">
        <v>4018.67</v>
      </c>
      <c r="D65" s="58">
        <v>4470.67</v>
      </c>
      <c r="E65" s="58">
        <v>4323.96</v>
      </c>
      <c r="F65" s="58">
        <v>6191.92</v>
      </c>
      <c r="G65" s="58">
        <v>6485.43</v>
      </c>
      <c r="H65" s="58">
        <v>6974.03</v>
      </c>
      <c r="I65" s="58">
        <v>7706.57</v>
      </c>
      <c r="J65" s="58">
        <v>9577.0400000000009</v>
      </c>
      <c r="K65" s="58">
        <v>13765.41</v>
      </c>
      <c r="N65" s="124" t="s">
        <v>4</v>
      </c>
      <c r="O65" s="128" t="s">
        <v>403</v>
      </c>
      <c r="P65" s="128" t="s">
        <v>404</v>
      </c>
      <c r="Q65" s="128" t="s">
        <v>405</v>
      </c>
      <c r="R65" s="128" t="s">
        <v>406</v>
      </c>
      <c r="S65" s="128" t="s">
        <v>407</v>
      </c>
      <c r="BZ65" s="57"/>
    </row>
    <row r="66" spans="1:78" s="56" customFormat="1" ht="15">
      <c r="A66" s="56" t="s">
        <v>43</v>
      </c>
      <c r="B66" s="58">
        <v>6784.5</v>
      </c>
      <c r="C66" s="58">
        <v>8075.4</v>
      </c>
      <c r="D66" s="58">
        <v>8914.5</v>
      </c>
      <c r="E66" s="58">
        <v>10559.03</v>
      </c>
      <c r="F66" s="58">
        <v>12405.19</v>
      </c>
      <c r="G66" s="58">
        <v>13763.48</v>
      </c>
      <c r="H66" s="58">
        <v>16248.84</v>
      </c>
      <c r="I66" s="58">
        <v>16137.97</v>
      </c>
      <c r="J66" s="58">
        <v>20355.34</v>
      </c>
      <c r="K66" s="58">
        <v>22958.43</v>
      </c>
      <c r="N66" s="124"/>
      <c r="O66" s="131"/>
      <c r="P66" s="131"/>
      <c r="Q66" s="130"/>
      <c r="R66" s="130"/>
      <c r="S66" s="131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  <c r="BW66" s="105"/>
      <c r="BX66" s="105"/>
      <c r="BY66" s="105"/>
    </row>
    <row r="67" spans="1:78" ht="15">
      <c r="A67" s="57" t="s">
        <v>90</v>
      </c>
      <c r="B67" s="58">
        <v>980.88</v>
      </c>
      <c r="C67" s="58">
        <v>1110.3</v>
      </c>
      <c r="D67" s="58">
        <v>1182.07</v>
      </c>
      <c r="E67" s="58">
        <v>1186.8399999999999</v>
      </c>
      <c r="F67" s="58">
        <v>1446.6</v>
      </c>
      <c r="G67" s="58">
        <v>1730.63</v>
      </c>
      <c r="H67" s="58">
        <v>1907.33</v>
      </c>
      <c r="I67" s="58">
        <v>1795.22</v>
      </c>
      <c r="J67" s="58">
        <v>2602.17</v>
      </c>
      <c r="K67" s="58">
        <v>3871.44</v>
      </c>
      <c r="N67" s="124" t="s">
        <v>408</v>
      </c>
      <c r="O67" s="128" t="s">
        <v>348</v>
      </c>
      <c r="P67" s="128" t="s">
        <v>349</v>
      </c>
      <c r="Q67" s="128" t="s">
        <v>350</v>
      </c>
      <c r="R67" s="128" t="s">
        <v>351</v>
      </c>
      <c r="S67" s="128" t="s">
        <v>352</v>
      </c>
      <c r="BZ67" s="57"/>
    </row>
    <row r="68" spans="1:78" ht="15">
      <c r="A68" s="57" t="s">
        <v>91</v>
      </c>
      <c r="B68" s="62">
        <v>1830.29</v>
      </c>
      <c r="C68" s="62">
        <v>2069.86</v>
      </c>
      <c r="D68" s="62">
        <v>2258.52</v>
      </c>
      <c r="E68" s="62">
        <v>1998.24</v>
      </c>
      <c r="F68" s="62">
        <v>2626.94</v>
      </c>
      <c r="G68" s="62">
        <v>2658.31</v>
      </c>
      <c r="H68" s="62">
        <v>3149.86</v>
      </c>
      <c r="I68" s="62">
        <v>3389.81</v>
      </c>
      <c r="J68" s="62">
        <v>3798.6</v>
      </c>
      <c r="K68" s="62">
        <v>6152.98</v>
      </c>
      <c r="N68" s="124"/>
      <c r="O68" s="130"/>
      <c r="P68" s="130"/>
      <c r="Q68" s="130"/>
      <c r="R68" s="130"/>
      <c r="S68" s="131"/>
      <c r="BZ68" s="57"/>
    </row>
    <row r="69" spans="1:78" ht="15">
      <c r="A69" s="57" t="s">
        <v>92</v>
      </c>
      <c r="B69" s="58">
        <v>736.69</v>
      </c>
      <c r="C69" s="58">
        <v>229</v>
      </c>
      <c r="D69" s="58">
        <v>204.39</v>
      </c>
      <c r="E69" s="58">
        <v>424.2</v>
      </c>
      <c r="F69" s="58">
        <v>801.21</v>
      </c>
      <c r="G69" s="58">
        <v>404.65</v>
      </c>
      <c r="H69" s="58">
        <v>444.88</v>
      </c>
      <c r="I69" s="58">
        <v>782.83</v>
      </c>
      <c r="J69" s="58">
        <v>610.75</v>
      </c>
      <c r="K69" s="58">
        <v>864.33</v>
      </c>
      <c r="N69" s="124" t="s">
        <v>421</v>
      </c>
      <c r="O69" s="126"/>
      <c r="P69" s="126"/>
      <c r="Q69" s="126"/>
      <c r="R69" s="126"/>
      <c r="S69" s="126"/>
      <c r="BZ69" s="57"/>
    </row>
    <row r="70" spans="1:78" ht="15">
      <c r="A70" s="57" t="s">
        <v>125</v>
      </c>
      <c r="B70" s="58">
        <v>95919779</v>
      </c>
      <c r="C70" s="58">
        <v>959197800</v>
      </c>
      <c r="D70" s="58">
        <v>959197790</v>
      </c>
      <c r="E70" s="58">
        <v>959197790</v>
      </c>
      <c r="F70" s="58">
        <v>959197790</v>
      </c>
      <c r="G70" s="58">
        <v>959197790</v>
      </c>
      <c r="H70" s="58">
        <v>959197790</v>
      </c>
      <c r="I70" s="58">
        <v>959197790</v>
      </c>
      <c r="J70" s="58">
        <v>959197790</v>
      </c>
      <c r="K70" s="58">
        <v>959197790</v>
      </c>
      <c r="N70" s="122" t="s">
        <v>422</v>
      </c>
      <c r="O70" s="126" t="s">
        <v>409</v>
      </c>
      <c r="P70" s="126" t="s">
        <v>410</v>
      </c>
      <c r="Q70" s="126" t="s">
        <v>411</v>
      </c>
      <c r="R70" s="126" t="s">
        <v>412</v>
      </c>
      <c r="S70" s="126" t="s">
        <v>413</v>
      </c>
      <c r="BZ70" s="57"/>
    </row>
    <row r="71" spans="1:78" ht="15">
      <c r="A71" s="57" t="s">
        <v>126</v>
      </c>
      <c r="B71" s="64"/>
      <c r="C71" s="64"/>
      <c r="G71" s="64"/>
      <c r="H71" s="64"/>
      <c r="N71"/>
    </row>
    <row r="72" spans="1:78" ht="15">
      <c r="A72" s="57" t="s">
        <v>127</v>
      </c>
      <c r="B72" s="58">
        <v>10</v>
      </c>
      <c r="C72" s="58">
        <v>1</v>
      </c>
      <c r="D72" s="58">
        <v>1</v>
      </c>
      <c r="E72" s="58">
        <v>1</v>
      </c>
      <c r="F72" s="58">
        <v>1</v>
      </c>
      <c r="G72" s="58">
        <v>1</v>
      </c>
      <c r="H72" s="58">
        <v>1</v>
      </c>
      <c r="I72" s="58">
        <v>1</v>
      </c>
      <c r="J72" s="58">
        <v>1</v>
      </c>
      <c r="K72" s="58">
        <v>1</v>
      </c>
      <c r="N72"/>
    </row>
    <row r="73" spans="1:78" ht="15">
      <c r="H73" s="57">
        <f>H62-G62+H45</f>
        <v>2969.4300000000007</v>
      </c>
      <c r="I73" s="57">
        <f t="shared" ref="I73:K73" si="3">I62-H62+I45</f>
        <v>-16.150000000000006</v>
      </c>
      <c r="J73" s="57">
        <f t="shared" si="3"/>
        <v>-198.08999999999997</v>
      </c>
      <c r="K73" s="57">
        <f t="shared" si="3"/>
        <v>-125.41000000000003</v>
      </c>
      <c r="N73"/>
    </row>
    <row r="74" spans="1:78" ht="15">
      <c r="N74"/>
    </row>
    <row r="75" spans="1:78" ht="15">
      <c r="N75"/>
    </row>
    <row r="76" spans="1:78" ht="15">
      <c r="N76"/>
    </row>
    <row r="77" spans="1:78" ht="15">
      <c r="N77"/>
    </row>
    <row r="78" spans="1:78" ht="15">
      <c r="N78"/>
    </row>
    <row r="79" spans="1:78" ht="15">
      <c r="N79"/>
    </row>
    <row r="80" spans="1:78" ht="15">
      <c r="A80" s="56" t="s">
        <v>128</v>
      </c>
      <c r="N80"/>
    </row>
    <row r="81" spans="1:78" s="61" customFormat="1" ht="15">
      <c r="A81" s="59" t="s">
        <v>108</v>
      </c>
      <c r="B81" s="60">
        <v>41364</v>
      </c>
      <c r="C81" s="60">
        <v>41729</v>
      </c>
      <c r="D81" s="60">
        <v>42094</v>
      </c>
      <c r="E81" s="60">
        <v>42460</v>
      </c>
      <c r="F81" s="60">
        <v>42825</v>
      </c>
      <c r="G81" s="60">
        <v>43190</v>
      </c>
      <c r="H81" s="60">
        <v>43555</v>
      </c>
      <c r="I81" s="60">
        <v>43921</v>
      </c>
      <c r="J81" s="60">
        <v>44286</v>
      </c>
      <c r="K81" s="60">
        <v>44651</v>
      </c>
      <c r="L81" s="60"/>
      <c r="M81" s="60"/>
      <c r="N81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7"/>
    </row>
    <row r="82" spans="1:78" s="56" customFormat="1" ht="15">
      <c r="A82" s="57" t="s">
        <v>129</v>
      </c>
      <c r="B82" s="58">
        <v>1186.79</v>
      </c>
      <c r="C82" s="58">
        <v>1402.03</v>
      </c>
      <c r="D82" s="58">
        <v>1187.69</v>
      </c>
      <c r="E82" s="58">
        <v>2242.9499999999998</v>
      </c>
      <c r="F82" s="58">
        <v>1527.33</v>
      </c>
      <c r="G82" s="58">
        <v>2113.44</v>
      </c>
      <c r="H82" s="58">
        <v>2469.54</v>
      </c>
      <c r="I82" s="58">
        <v>3038.15</v>
      </c>
      <c r="J82" s="58">
        <v>3683.35</v>
      </c>
      <c r="K82" s="58">
        <v>986.49</v>
      </c>
      <c r="N82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</row>
    <row r="83" spans="1:78" ht="15">
      <c r="A83" s="57" t="s">
        <v>130</v>
      </c>
      <c r="B83" s="58">
        <v>-463.2</v>
      </c>
      <c r="C83" s="58">
        <v>-585.99</v>
      </c>
      <c r="D83" s="58">
        <v>-464.99</v>
      </c>
      <c r="E83" s="58">
        <v>-866.21</v>
      </c>
      <c r="F83" s="58">
        <v>-681.11</v>
      </c>
      <c r="G83" s="58">
        <v>-1556.14</v>
      </c>
      <c r="H83" s="58">
        <v>-917.79</v>
      </c>
      <c r="I83" s="58">
        <v>-517.91</v>
      </c>
      <c r="J83" s="58">
        <v>-540.54</v>
      </c>
      <c r="K83" s="58">
        <v>-316.75</v>
      </c>
      <c r="N83"/>
    </row>
    <row r="84" spans="1:78" ht="15">
      <c r="A84" s="57" t="s">
        <v>131</v>
      </c>
      <c r="B84" s="58">
        <v>-601</v>
      </c>
      <c r="C84" s="58">
        <v>-625.91</v>
      </c>
      <c r="D84" s="58">
        <v>-576.09</v>
      </c>
      <c r="E84" s="58">
        <v>-848.98</v>
      </c>
      <c r="F84" s="58">
        <v>-756.43</v>
      </c>
      <c r="G84" s="58">
        <v>-1379.14</v>
      </c>
      <c r="H84" s="58">
        <v>-1117.46</v>
      </c>
      <c r="I84" s="58">
        <v>-2871.46</v>
      </c>
      <c r="J84" s="58">
        <v>-650.4</v>
      </c>
      <c r="K84" s="58">
        <v>-1807.61</v>
      </c>
      <c r="N84"/>
    </row>
    <row r="85" spans="1:78" s="56" customFormat="1" ht="15">
      <c r="A85" s="57" t="s">
        <v>98</v>
      </c>
      <c r="B85" s="58">
        <v>122.59</v>
      </c>
      <c r="C85" s="58">
        <v>190.13</v>
      </c>
      <c r="D85" s="58">
        <v>146.61000000000001</v>
      </c>
      <c r="E85" s="58">
        <v>527.76</v>
      </c>
      <c r="F85" s="58">
        <v>89.79</v>
      </c>
      <c r="G85" s="58">
        <v>-821.84</v>
      </c>
      <c r="H85" s="58">
        <v>434.29</v>
      </c>
      <c r="I85" s="58">
        <v>-351.22</v>
      </c>
      <c r="J85" s="58">
        <v>2492.41</v>
      </c>
      <c r="K85" s="58">
        <v>-1137.8699999999999</v>
      </c>
      <c r="N8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</row>
    <row r="86" spans="1:78" ht="15">
      <c r="N86"/>
    </row>
    <row r="87" spans="1:78" ht="15">
      <c r="N87"/>
    </row>
    <row r="88" spans="1:78" ht="15">
      <c r="N88"/>
    </row>
    <row r="89" spans="1:78" ht="15">
      <c r="N89"/>
    </row>
    <row r="90" spans="1:78" s="56" customFormat="1" ht="15">
      <c r="A90" s="56" t="s">
        <v>132</v>
      </c>
      <c r="B90" s="58">
        <v>491.73</v>
      </c>
      <c r="C90" s="58">
        <v>547.95000000000005</v>
      </c>
      <c r="D90" s="58">
        <v>811.3</v>
      </c>
      <c r="E90" s="58">
        <v>868.4</v>
      </c>
      <c r="F90" s="58">
        <v>1073.5</v>
      </c>
      <c r="G90" s="58">
        <v>1120.4000000000001</v>
      </c>
      <c r="H90" s="58">
        <v>1492.7</v>
      </c>
      <c r="I90" s="58">
        <v>1666.5</v>
      </c>
      <c r="J90" s="58">
        <v>2537.4</v>
      </c>
      <c r="K90" s="58">
        <v>3079.95</v>
      </c>
      <c r="N90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5"/>
      <c r="BZ90" s="105"/>
    </row>
    <row r="91" spans="1:78" ht="15">
      <c r="N91"/>
    </row>
    <row r="92" spans="1:78" s="56" customFormat="1" ht="15">
      <c r="A92" s="56" t="s">
        <v>133</v>
      </c>
      <c r="N92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</row>
    <row r="93" spans="1:78" ht="15">
      <c r="A93" s="57" t="s">
        <v>134</v>
      </c>
      <c r="B93" s="65">
        <v>95.92</v>
      </c>
      <c r="C93" s="65">
        <v>95.92</v>
      </c>
      <c r="D93" s="65">
        <v>95.92</v>
      </c>
      <c r="E93" s="65">
        <v>95.92</v>
      </c>
      <c r="F93" s="65">
        <v>95.92</v>
      </c>
      <c r="G93" s="65">
        <v>95.92</v>
      </c>
      <c r="H93" s="65">
        <v>95.92</v>
      </c>
      <c r="I93" s="65">
        <v>95.92</v>
      </c>
      <c r="J93" s="65">
        <v>95.92</v>
      </c>
      <c r="K93" s="65">
        <v>95.92</v>
      </c>
      <c r="N93"/>
    </row>
    <row r="94" spans="1:78" ht="15">
      <c r="N94"/>
    </row>
    <row r="95" spans="1:78" ht="15">
      <c r="N95"/>
    </row>
    <row r="96" spans="1:78" ht="15">
      <c r="N96"/>
    </row>
    <row r="97" spans="14:14" ht="15">
      <c r="N97"/>
    </row>
    <row r="98" spans="14:14" ht="15">
      <c r="N98"/>
    </row>
    <row r="99" spans="14:14" ht="15">
      <c r="N99"/>
    </row>
    <row r="100" spans="14:14" ht="15">
      <c r="N100"/>
    </row>
    <row r="101" spans="14:14" ht="15">
      <c r="N101"/>
    </row>
    <row r="102" spans="14:14" ht="15">
      <c r="N102"/>
    </row>
    <row r="103" spans="14:14" ht="15">
      <c r="N103"/>
    </row>
    <row r="104" spans="14:14" ht="15">
      <c r="N104"/>
    </row>
    <row r="105" spans="14:14" ht="15">
      <c r="N105"/>
    </row>
    <row r="106" spans="14:14" ht="15">
      <c r="N106"/>
    </row>
    <row r="107" spans="14:14" ht="15">
      <c r="N107"/>
    </row>
    <row r="108" spans="14:14" ht="15">
      <c r="N108"/>
    </row>
    <row r="109" spans="14:14" ht="15">
      <c r="N109"/>
    </row>
    <row r="110" spans="14:14" ht="15">
      <c r="N110"/>
    </row>
    <row r="111" spans="14:14" ht="15">
      <c r="N111"/>
    </row>
    <row r="112" spans="14:14" ht="15">
      <c r="N112"/>
    </row>
    <row r="113" spans="14:14" ht="15">
      <c r="N113"/>
    </row>
    <row r="114" spans="14:14" ht="15">
      <c r="N114"/>
    </row>
    <row r="115" spans="14:14" ht="15">
      <c r="N115"/>
    </row>
    <row r="116" spans="14:14" ht="15">
      <c r="N116"/>
    </row>
    <row r="117" spans="14:14" ht="15">
      <c r="N117"/>
    </row>
    <row r="118" spans="14:14" ht="15">
      <c r="N118"/>
    </row>
    <row r="119" spans="14:14" ht="15">
      <c r="N119"/>
    </row>
    <row r="120" spans="14:14" ht="15">
      <c r="N120"/>
    </row>
    <row r="121" spans="14:14" ht="15">
      <c r="N121"/>
    </row>
    <row r="122" spans="14:14" ht="15">
      <c r="N122"/>
    </row>
    <row r="123" spans="14:14" ht="15">
      <c r="N123"/>
    </row>
    <row r="124" spans="14:14" ht="15">
      <c r="N124"/>
    </row>
    <row r="125" spans="14:14" ht="15">
      <c r="N125"/>
    </row>
    <row r="126" spans="14:14" ht="15">
      <c r="N126"/>
    </row>
    <row r="127" spans="14:14" ht="15">
      <c r="N127"/>
    </row>
    <row r="128" spans="14:14" ht="15">
      <c r="N128"/>
    </row>
    <row r="129" spans="14:14" ht="15">
      <c r="N129"/>
    </row>
    <row r="130" spans="14:14" ht="15">
      <c r="N130"/>
    </row>
    <row r="131" spans="14:14" ht="15">
      <c r="N131"/>
    </row>
    <row r="132" spans="14:14" ht="15">
      <c r="N132"/>
    </row>
    <row r="133" spans="14:14" ht="15">
      <c r="N133"/>
    </row>
    <row r="134" spans="14:14" ht="15">
      <c r="N134"/>
    </row>
    <row r="135" spans="14:14" ht="15">
      <c r="N135"/>
    </row>
    <row r="136" spans="14:14" ht="15">
      <c r="N136"/>
    </row>
    <row r="137" spans="14:14" ht="15">
      <c r="N137"/>
    </row>
    <row r="138" spans="14:14" ht="15">
      <c r="N138"/>
    </row>
    <row r="139" spans="14:14" ht="15">
      <c r="N139"/>
    </row>
    <row r="140" spans="14:14" ht="15">
      <c r="N140"/>
    </row>
    <row r="141" spans="14:14" ht="15">
      <c r="N141"/>
    </row>
    <row r="142" spans="14:14" ht="15">
      <c r="N142"/>
    </row>
    <row r="143" spans="14:14" ht="15">
      <c r="N143"/>
    </row>
    <row r="144" spans="14:14" ht="15">
      <c r="N144"/>
    </row>
    <row r="145" spans="14:14" ht="15">
      <c r="N145"/>
    </row>
    <row r="146" spans="14:14" ht="15">
      <c r="N146"/>
    </row>
    <row r="147" spans="14:14" ht="15">
      <c r="N147"/>
    </row>
    <row r="148" spans="14:14" ht="15">
      <c r="N148"/>
    </row>
    <row r="149" spans="14:14" ht="15">
      <c r="N149"/>
    </row>
    <row r="150" spans="14:14" ht="15">
      <c r="N150"/>
    </row>
    <row r="151" spans="14:14" ht="15">
      <c r="N151"/>
    </row>
    <row r="152" spans="14:14" ht="15">
      <c r="N152"/>
    </row>
    <row r="153" spans="14:14" ht="15">
      <c r="N153"/>
    </row>
    <row r="154" spans="14:14" ht="15">
      <c r="N154"/>
    </row>
    <row r="155" spans="14:14" ht="15">
      <c r="N155"/>
    </row>
    <row r="156" spans="14:14" ht="15">
      <c r="N156"/>
    </row>
    <row r="157" spans="14:14" ht="15">
      <c r="N157"/>
    </row>
    <row r="158" spans="14:14" ht="15">
      <c r="N158"/>
    </row>
    <row r="159" spans="14:14" ht="15">
      <c r="N159"/>
    </row>
    <row r="160" spans="14:14" ht="15">
      <c r="N160"/>
    </row>
    <row r="161" spans="14:14" ht="15">
      <c r="N161"/>
    </row>
    <row r="162" spans="14:14" ht="15">
      <c r="N162"/>
    </row>
    <row r="163" spans="14:14" ht="15">
      <c r="N163"/>
    </row>
    <row r="164" spans="14:14" ht="15">
      <c r="N164"/>
    </row>
    <row r="165" spans="14:14" ht="15">
      <c r="N165"/>
    </row>
    <row r="166" spans="14:14" ht="15">
      <c r="N166"/>
    </row>
    <row r="167" spans="14:14" ht="15">
      <c r="N167"/>
    </row>
    <row r="168" spans="14:14" ht="15">
      <c r="N168"/>
    </row>
    <row r="169" spans="14:14" ht="15">
      <c r="N169"/>
    </row>
    <row r="170" spans="14:14" ht="15">
      <c r="N170"/>
    </row>
    <row r="171" spans="14:14" ht="15">
      <c r="N171"/>
    </row>
    <row r="172" spans="14:14" ht="15">
      <c r="N172"/>
    </row>
    <row r="173" spans="14:14" ht="15">
      <c r="N173"/>
    </row>
    <row r="174" spans="14:14" ht="15">
      <c r="N174"/>
    </row>
    <row r="175" spans="14:14" ht="15">
      <c r="N175"/>
    </row>
    <row r="176" spans="14:14" ht="15">
      <c r="N176"/>
    </row>
    <row r="177" spans="14:14" ht="15">
      <c r="N177"/>
    </row>
    <row r="178" spans="14:14" ht="15">
      <c r="N178"/>
    </row>
    <row r="179" spans="14:14" ht="15">
      <c r="N179"/>
    </row>
    <row r="180" spans="14:14" ht="15">
      <c r="N180"/>
    </row>
    <row r="181" spans="14:14" ht="15">
      <c r="N181"/>
    </row>
    <row r="182" spans="14:14" ht="15">
      <c r="N182"/>
    </row>
    <row r="183" spans="14:14" ht="15">
      <c r="N183"/>
    </row>
    <row r="184" spans="14:14" ht="15">
      <c r="N184"/>
    </row>
    <row r="185" spans="14:14" ht="15">
      <c r="N185"/>
    </row>
    <row r="186" spans="14:14" ht="15">
      <c r="N186"/>
    </row>
    <row r="187" spans="14:14" ht="15">
      <c r="N187"/>
    </row>
    <row r="188" spans="14:14" ht="15">
      <c r="N188"/>
    </row>
    <row r="189" spans="14:14" ht="15">
      <c r="N189"/>
    </row>
    <row r="190" spans="14:14" ht="15">
      <c r="N190"/>
    </row>
    <row r="191" spans="14:14" ht="15">
      <c r="N191"/>
    </row>
    <row r="192" spans="14:14" ht="15">
      <c r="N192"/>
    </row>
    <row r="193" spans="14:14" ht="15">
      <c r="N193"/>
    </row>
    <row r="194" spans="14:14" ht="15">
      <c r="N194"/>
    </row>
    <row r="195" spans="14:14" ht="15">
      <c r="N195"/>
    </row>
    <row r="196" spans="14:14" ht="15">
      <c r="N196"/>
    </row>
    <row r="197" spans="14:14" ht="15">
      <c r="N197"/>
    </row>
    <row r="198" spans="14:14" ht="15">
      <c r="N198"/>
    </row>
    <row r="199" spans="14:14" ht="15">
      <c r="N199"/>
    </row>
    <row r="200" spans="14:14" ht="15">
      <c r="N200"/>
    </row>
    <row r="201" spans="14:14" ht="15">
      <c r="N201"/>
    </row>
    <row r="202" spans="14:14" ht="15">
      <c r="N202" s="1"/>
    </row>
    <row r="203" spans="14:14" ht="15">
      <c r="N203"/>
    </row>
    <row r="204" spans="14:14" ht="15">
      <c r="N204" s="114"/>
    </row>
    <row r="205" spans="14:14" ht="15">
      <c r="N205"/>
    </row>
    <row r="206" spans="14:14" ht="15">
      <c r="N206" s="115"/>
    </row>
    <row r="207" spans="14:14" ht="15">
      <c r="N207"/>
    </row>
    <row r="208" spans="14:14" ht="15">
      <c r="N208" s="114"/>
    </row>
    <row r="209" spans="14:14" ht="15">
      <c r="N209"/>
    </row>
    <row r="210" spans="14:14" ht="15">
      <c r="N210" s="115"/>
    </row>
    <row r="211" spans="14:14" ht="15">
      <c r="N211"/>
    </row>
    <row r="212" spans="14:14" ht="15">
      <c r="N212" s="114"/>
    </row>
    <row r="213" spans="14:14" ht="15">
      <c r="N213"/>
    </row>
    <row r="214" spans="14:14" ht="15">
      <c r="N214" s="114"/>
    </row>
    <row r="215" spans="14:14" ht="15">
      <c r="N215"/>
    </row>
    <row r="216" spans="14:14" ht="15">
      <c r="N216" s="114"/>
    </row>
    <row r="217" spans="14:14" ht="15">
      <c r="N217"/>
    </row>
    <row r="218" spans="14:14" ht="15">
      <c r="N218" s="114"/>
    </row>
    <row r="219" spans="14:14" ht="15">
      <c r="N219"/>
    </row>
    <row r="220" spans="14:14" ht="15">
      <c r="N220" s="115"/>
    </row>
    <row r="221" spans="14:14" ht="15">
      <c r="N221"/>
    </row>
    <row r="222" spans="14:14" ht="15">
      <c r="N222"/>
    </row>
    <row r="223" spans="14:14" ht="15">
      <c r="N223"/>
    </row>
    <row r="224" spans="14:14" ht="15">
      <c r="N224"/>
    </row>
    <row r="225" spans="14:14" ht="15">
      <c r="N225"/>
    </row>
    <row r="226" spans="14:14" ht="15">
      <c r="N226"/>
    </row>
    <row r="227" spans="14:14" ht="15">
      <c r="N227"/>
    </row>
    <row r="228" spans="14:14" ht="15">
      <c r="N228"/>
    </row>
    <row r="229" spans="14:14" ht="15">
      <c r="N229"/>
    </row>
    <row r="230" spans="14:14" ht="15">
      <c r="N230"/>
    </row>
    <row r="231" spans="14:14" ht="15">
      <c r="N231"/>
    </row>
    <row r="232" spans="14:14" ht="15">
      <c r="N232"/>
    </row>
    <row r="233" spans="14:14" ht="15">
      <c r="N233"/>
    </row>
    <row r="234" spans="14:14" ht="15">
      <c r="N234"/>
    </row>
    <row r="235" spans="14:14" ht="15">
      <c r="N235"/>
    </row>
    <row r="236" spans="14:14" ht="15">
      <c r="N236"/>
    </row>
    <row r="237" spans="14:14" ht="15">
      <c r="N237"/>
    </row>
    <row r="238" spans="14:14" ht="15">
      <c r="N238"/>
    </row>
    <row r="239" spans="14:14" ht="15">
      <c r="N239"/>
    </row>
    <row r="240" spans="14:14" ht="15">
      <c r="N240"/>
    </row>
    <row r="241" spans="14:14" ht="15">
      <c r="N241"/>
    </row>
    <row r="242" spans="14:14" ht="15">
      <c r="N242"/>
    </row>
    <row r="243" spans="14:14" ht="15">
      <c r="N243"/>
    </row>
    <row r="244" spans="14:14" ht="15">
      <c r="N244"/>
    </row>
    <row r="245" spans="14:14" ht="15">
      <c r="N245"/>
    </row>
    <row r="246" spans="14:14" ht="15">
      <c r="N246"/>
    </row>
    <row r="247" spans="14:14" ht="15">
      <c r="N247"/>
    </row>
    <row r="248" spans="14:14" ht="15">
      <c r="N248"/>
    </row>
    <row r="249" spans="14:14" ht="15">
      <c r="N249"/>
    </row>
    <row r="250" spans="14:14" ht="15">
      <c r="N250"/>
    </row>
    <row r="251" spans="14:14" ht="15">
      <c r="N251"/>
    </row>
    <row r="252" spans="14:14" ht="15">
      <c r="N252"/>
    </row>
    <row r="253" spans="14:14" ht="15">
      <c r="N253"/>
    </row>
    <row r="254" spans="14:14" ht="15">
      <c r="N254"/>
    </row>
    <row r="255" spans="14:14" ht="15">
      <c r="N255"/>
    </row>
    <row r="256" spans="14:14" ht="15">
      <c r="N256"/>
    </row>
    <row r="257" spans="14:14" ht="15">
      <c r="N257"/>
    </row>
    <row r="258" spans="14:14" ht="15">
      <c r="N258"/>
    </row>
    <row r="259" spans="14:14" ht="15">
      <c r="N259"/>
    </row>
    <row r="260" spans="14:14" ht="15">
      <c r="N260"/>
    </row>
    <row r="261" spans="14:14" ht="15">
      <c r="N261"/>
    </row>
    <row r="262" spans="14:14" ht="15">
      <c r="N262"/>
    </row>
    <row r="263" spans="14:14" ht="15">
      <c r="N263"/>
    </row>
    <row r="264" spans="14:14" ht="15">
      <c r="N264"/>
    </row>
    <row r="265" spans="14:14" ht="15">
      <c r="N265"/>
    </row>
    <row r="266" spans="14:14" ht="15">
      <c r="N266"/>
    </row>
    <row r="267" spans="14:14" ht="15">
      <c r="N267"/>
    </row>
    <row r="268" spans="14:14" ht="15">
      <c r="N268"/>
    </row>
    <row r="269" spans="14:14" ht="15">
      <c r="N269"/>
    </row>
    <row r="270" spans="14:14" ht="15">
      <c r="N270"/>
    </row>
    <row r="271" spans="14:14" ht="15">
      <c r="N271"/>
    </row>
    <row r="272" spans="14:14" ht="15">
      <c r="N272"/>
    </row>
    <row r="273" spans="14:14" ht="15">
      <c r="N273"/>
    </row>
    <row r="274" spans="14:14" ht="15">
      <c r="N274"/>
    </row>
    <row r="275" spans="14:14" ht="15">
      <c r="N275"/>
    </row>
    <row r="276" spans="14:14" ht="15">
      <c r="N276"/>
    </row>
    <row r="277" spans="14:14" ht="15">
      <c r="N277"/>
    </row>
    <row r="278" spans="14:14" ht="15">
      <c r="N278"/>
    </row>
    <row r="279" spans="14:14" ht="15">
      <c r="N279"/>
    </row>
    <row r="280" spans="14:14" ht="15">
      <c r="N280"/>
    </row>
    <row r="281" spans="14:14" ht="15">
      <c r="N281"/>
    </row>
    <row r="282" spans="14:14" ht="15">
      <c r="N282"/>
    </row>
    <row r="283" spans="14:14" ht="15">
      <c r="N283"/>
    </row>
    <row r="284" spans="14:14" ht="15">
      <c r="N284"/>
    </row>
    <row r="285" spans="14:14" ht="15">
      <c r="N285"/>
    </row>
    <row r="286" spans="14:14" ht="15">
      <c r="N286"/>
    </row>
    <row r="287" spans="14:14" ht="15">
      <c r="N287"/>
    </row>
    <row r="288" spans="14:14" ht="15">
      <c r="N288"/>
    </row>
    <row r="289" spans="14:14" ht="15">
      <c r="N289"/>
    </row>
    <row r="290" spans="14:14" ht="15">
      <c r="N290"/>
    </row>
    <row r="291" spans="14:14" ht="15">
      <c r="N291"/>
    </row>
    <row r="292" spans="14:14" ht="15">
      <c r="N292"/>
    </row>
    <row r="293" spans="14:14" ht="15">
      <c r="N293"/>
    </row>
    <row r="294" spans="14:14" ht="15">
      <c r="N294"/>
    </row>
    <row r="295" spans="14:14" ht="15">
      <c r="N295"/>
    </row>
    <row r="296" spans="14:14" ht="15">
      <c r="N296"/>
    </row>
    <row r="297" spans="14:14" ht="15">
      <c r="N297"/>
    </row>
    <row r="298" spans="14:14" ht="15">
      <c r="N298"/>
    </row>
    <row r="299" spans="14:14" ht="15">
      <c r="N299"/>
    </row>
    <row r="300" spans="14:14" ht="15">
      <c r="N300"/>
    </row>
    <row r="301" spans="14:14" ht="15">
      <c r="N301"/>
    </row>
    <row r="302" spans="14:14" ht="15">
      <c r="N302"/>
    </row>
    <row r="303" spans="14:14" ht="15">
      <c r="N303"/>
    </row>
    <row r="304" spans="14:14" ht="15">
      <c r="N304"/>
    </row>
    <row r="305" spans="14:14" ht="15">
      <c r="N305"/>
    </row>
    <row r="306" spans="14:14" ht="15">
      <c r="N306"/>
    </row>
    <row r="307" spans="14:14" ht="15">
      <c r="N307"/>
    </row>
    <row r="308" spans="14:14" ht="15">
      <c r="N308"/>
    </row>
    <row r="309" spans="14:14" ht="15">
      <c r="N309"/>
    </row>
    <row r="310" spans="14:14" ht="15">
      <c r="N310"/>
    </row>
    <row r="311" spans="14:14" ht="15">
      <c r="N311"/>
    </row>
    <row r="312" spans="14:14" ht="15">
      <c r="N312"/>
    </row>
    <row r="313" spans="14:14" ht="15">
      <c r="N313"/>
    </row>
    <row r="314" spans="14:14" ht="15">
      <c r="N314"/>
    </row>
    <row r="315" spans="14:14" ht="15">
      <c r="N315"/>
    </row>
    <row r="316" spans="14:14" ht="15">
      <c r="N316"/>
    </row>
    <row r="317" spans="14:14" ht="15">
      <c r="N317"/>
    </row>
    <row r="318" spans="14:14" ht="15">
      <c r="N318"/>
    </row>
    <row r="319" spans="14:14" ht="15">
      <c r="N319"/>
    </row>
    <row r="320" spans="14:14" ht="15">
      <c r="N320"/>
    </row>
    <row r="321" spans="14:14" ht="15">
      <c r="N321"/>
    </row>
    <row r="322" spans="14:14" ht="15">
      <c r="N322" s="1"/>
    </row>
    <row r="323" spans="14:14" ht="15">
      <c r="N323"/>
    </row>
    <row r="324" spans="14:14" ht="15">
      <c r="N324" s="114"/>
    </row>
    <row r="325" spans="14:14" ht="15">
      <c r="N325"/>
    </row>
    <row r="326" spans="14:14" ht="15">
      <c r="N326" s="114"/>
    </row>
    <row r="327" spans="14:14" ht="15">
      <c r="N327"/>
    </row>
    <row r="328" spans="14:14" ht="15">
      <c r="N328" s="114"/>
    </row>
    <row r="329" spans="14:14" ht="15">
      <c r="N329"/>
    </row>
    <row r="330" spans="14:14" ht="15">
      <c r="N330" s="114"/>
    </row>
    <row r="331" spans="14:14" ht="15">
      <c r="N331"/>
    </row>
    <row r="332" spans="14:14" ht="15">
      <c r="N332" s="114"/>
    </row>
    <row r="333" spans="14:14" ht="15">
      <c r="N333"/>
    </row>
    <row r="334" spans="14:14" ht="15">
      <c r="N334" s="114"/>
    </row>
    <row r="335" spans="14:14" ht="15">
      <c r="N335"/>
    </row>
    <row r="336" spans="14:14" ht="15">
      <c r="N336" s="114"/>
    </row>
    <row r="337" spans="14:14" ht="15">
      <c r="N337"/>
    </row>
    <row r="338" spans="14:14" ht="15">
      <c r="N338" s="114"/>
    </row>
    <row r="339" spans="14:14" ht="15">
      <c r="N339"/>
    </row>
    <row r="340" spans="14:14" ht="15">
      <c r="N340" s="115"/>
    </row>
    <row r="341" spans="14:14" ht="15">
      <c r="N341"/>
    </row>
    <row r="342" spans="14:14" ht="15">
      <c r="N342"/>
    </row>
    <row r="343" spans="14:14" ht="15">
      <c r="N343"/>
    </row>
    <row r="344" spans="14:14" ht="15">
      <c r="N344"/>
    </row>
    <row r="345" spans="14:14" ht="15">
      <c r="N345"/>
    </row>
    <row r="346" spans="14:14" ht="15">
      <c r="N346"/>
    </row>
    <row r="347" spans="14:14" ht="15">
      <c r="N347"/>
    </row>
    <row r="348" spans="14:14" ht="15">
      <c r="N348"/>
    </row>
    <row r="349" spans="14:14" ht="15">
      <c r="N349"/>
    </row>
    <row r="350" spans="14:14" ht="15">
      <c r="N350"/>
    </row>
    <row r="351" spans="14:14" ht="15">
      <c r="N351"/>
    </row>
    <row r="352" spans="14:14" ht="15">
      <c r="N352"/>
    </row>
    <row r="353" spans="14:14" ht="15">
      <c r="N353"/>
    </row>
    <row r="354" spans="14:14" ht="15">
      <c r="N354"/>
    </row>
    <row r="355" spans="14:14" ht="15">
      <c r="N355"/>
    </row>
    <row r="356" spans="14:14" ht="15">
      <c r="N356"/>
    </row>
    <row r="357" spans="14:14" ht="15">
      <c r="N357"/>
    </row>
    <row r="358" spans="14:14" ht="15">
      <c r="N358"/>
    </row>
    <row r="359" spans="14:14" ht="15">
      <c r="N359"/>
    </row>
    <row r="360" spans="14:14" ht="15">
      <c r="N360"/>
    </row>
    <row r="361" spans="14:14" ht="15">
      <c r="N361"/>
    </row>
    <row r="362" spans="14:14" ht="15">
      <c r="N362"/>
    </row>
    <row r="363" spans="14:14" ht="15">
      <c r="N363"/>
    </row>
    <row r="364" spans="14:14" ht="15">
      <c r="N364"/>
    </row>
    <row r="365" spans="14:14" ht="15">
      <c r="N365"/>
    </row>
    <row r="366" spans="14:14" ht="15">
      <c r="N366"/>
    </row>
    <row r="367" spans="14:14" ht="15">
      <c r="N367"/>
    </row>
    <row r="368" spans="14:14" ht="15">
      <c r="N368"/>
    </row>
    <row r="369" spans="14:14" ht="15">
      <c r="N369"/>
    </row>
    <row r="370" spans="14:14" ht="15">
      <c r="N370"/>
    </row>
    <row r="371" spans="14:14" ht="15">
      <c r="N371"/>
    </row>
    <row r="372" spans="14:14" ht="15">
      <c r="N372"/>
    </row>
    <row r="373" spans="14:14" ht="15">
      <c r="N373"/>
    </row>
    <row r="374" spans="14:14" ht="15">
      <c r="N374"/>
    </row>
    <row r="375" spans="14:14" ht="15">
      <c r="N375"/>
    </row>
    <row r="376" spans="14:14" ht="15">
      <c r="N376"/>
    </row>
    <row r="377" spans="14:14" ht="15">
      <c r="N377"/>
    </row>
    <row r="378" spans="14:14" ht="15">
      <c r="N378"/>
    </row>
    <row r="379" spans="14:14" ht="15">
      <c r="N379"/>
    </row>
    <row r="380" spans="14:14" ht="15">
      <c r="N380"/>
    </row>
    <row r="381" spans="14:14" ht="15">
      <c r="N381"/>
    </row>
    <row r="382" spans="14:14" ht="15">
      <c r="N382"/>
    </row>
    <row r="383" spans="14:14" ht="15">
      <c r="N383"/>
    </row>
    <row r="384" spans="14:14" ht="15">
      <c r="N384"/>
    </row>
    <row r="385" spans="14:14" ht="15">
      <c r="N385"/>
    </row>
    <row r="386" spans="14:14" ht="15">
      <c r="N386"/>
    </row>
    <row r="387" spans="14:14" ht="15">
      <c r="N387" s="1"/>
    </row>
    <row r="388" spans="14:14" ht="15">
      <c r="N388"/>
    </row>
    <row r="389" spans="14:14" ht="15">
      <c r="N389" s="114"/>
    </row>
    <row r="390" spans="14:14" ht="15">
      <c r="N390"/>
    </row>
    <row r="391" spans="14:14" ht="15">
      <c r="N391" s="115"/>
    </row>
    <row r="392" spans="14:14" ht="15">
      <c r="N392"/>
    </row>
    <row r="393" spans="14:14" ht="15">
      <c r="N393" s="114"/>
    </row>
    <row r="394" spans="14:14" ht="15">
      <c r="N394"/>
    </row>
    <row r="395" spans="14:14" ht="15">
      <c r="N395" s="115"/>
    </row>
    <row r="396" spans="14:14" ht="15">
      <c r="N396"/>
    </row>
    <row r="397" spans="14:14" ht="15">
      <c r="N397" s="115"/>
    </row>
    <row r="398" spans="14:14" ht="15">
      <c r="N398"/>
    </row>
    <row r="399" spans="14:14" ht="15">
      <c r="N399" s="115"/>
    </row>
    <row r="400" spans="14:14" ht="15">
      <c r="N400"/>
    </row>
    <row r="401" spans="14:14" ht="15">
      <c r="N401" s="114"/>
    </row>
    <row r="402" spans="14:14" ht="15">
      <c r="N402"/>
    </row>
    <row r="403" spans="14:14" ht="15">
      <c r="N403" s="114"/>
    </row>
    <row r="404" spans="14:14" ht="15">
      <c r="N404"/>
    </row>
    <row r="405" spans="14:14" ht="15">
      <c r="N405" s="115"/>
    </row>
    <row r="406" spans="14:14" ht="15">
      <c r="N406"/>
    </row>
    <row r="407" spans="14:14" ht="15">
      <c r="N407"/>
    </row>
    <row r="408" spans="14:14" ht="15">
      <c r="N408" s="1"/>
    </row>
    <row r="409" spans="14:14" ht="15">
      <c r="N409"/>
    </row>
    <row r="410" spans="14:14" ht="15">
      <c r="N410" s="114"/>
    </row>
    <row r="411" spans="14:14" ht="15">
      <c r="N411"/>
    </row>
    <row r="412" spans="14:14" ht="15">
      <c r="N412" s="115"/>
    </row>
    <row r="413" spans="14:14" ht="15">
      <c r="N413"/>
    </row>
    <row r="414" spans="14:14" ht="15">
      <c r="N414" s="114"/>
    </row>
    <row r="415" spans="14:14" ht="15">
      <c r="N415"/>
    </row>
    <row r="416" spans="14:14" ht="15">
      <c r="N416" s="115"/>
    </row>
    <row r="417" spans="14:14" ht="15">
      <c r="N417"/>
    </row>
    <row r="418" spans="14:14" ht="15">
      <c r="N418" s="114"/>
    </row>
    <row r="419" spans="14:14" ht="15">
      <c r="N419"/>
    </row>
    <row r="420" spans="14:14" ht="15">
      <c r="N420" s="114"/>
    </row>
    <row r="421" spans="14:14" ht="15">
      <c r="N421"/>
    </row>
    <row r="422" spans="14:14" ht="15">
      <c r="N422" s="114"/>
    </row>
    <row r="423" spans="14:14" ht="15">
      <c r="N423"/>
    </row>
    <row r="424" spans="14:14" ht="15">
      <c r="N424" s="114"/>
    </row>
    <row r="425" spans="14:14" ht="15">
      <c r="N425"/>
    </row>
    <row r="426" spans="14:14" ht="15">
      <c r="N426" s="115"/>
    </row>
    <row r="427" spans="14:14" ht="15">
      <c r="N427"/>
    </row>
    <row r="428" spans="14:14" ht="15">
      <c r="N428"/>
    </row>
    <row r="429" spans="14:14" ht="15">
      <c r="N429"/>
    </row>
    <row r="430" spans="14:14" ht="15">
      <c r="N430"/>
    </row>
    <row r="431" spans="14:14" ht="15">
      <c r="N431"/>
    </row>
    <row r="432" spans="14:14" ht="15">
      <c r="N432"/>
    </row>
    <row r="433" spans="14:14" ht="15">
      <c r="N433"/>
    </row>
    <row r="434" spans="14:14" ht="15">
      <c r="N434"/>
    </row>
    <row r="435" spans="14:14" ht="15">
      <c r="N435"/>
    </row>
    <row r="436" spans="14:14" ht="15">
      <c r="N436"/>
    </row>
    <row r="437" spans="14:14" ht="15">
      <c r="N437"/>
    </row>
  </sheetData>
  <mergeCells count="1">
    <mergeCell ref="E1:K1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C03866C7-AB34-441B-ACAE-C23DCFBCDD3D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55B1-9469-4E1B-8CE5-647380F64976}">
  <dimension ref="B2:AS107"/>
  <sheetViews>
    <sheetView showGridLines="0" zoomScaleNormal="100" workbookViewId="0">
      <selection activeCell="AM35" sqref="AM35"/>
    </sheetView>
  </sheetViews>
  <sheetFormatPr baseColWidth="10" defaultColWidth="8.83203125" defaultRowHeight="15" outlineLevelCol="1"/>
  <cols>
    <col min="1" max="1" width="1.83203125" customWidth="1"/>
    <col min="2" max="2" width="35.5" customWidth="1" outlineLevel="1"/>
    <col min="3" max="16" width="8.83203125" customWidth="1" outlineLevel="1"/>
    <col min="18" max="18" width="8.83203125" customWidth="1" outlineLevel="1"/>
    <col min="19" max="19" width="10.83203125" customWidth="1" outlineLevel="1"/>
    <col min="20" max="24" width="8.83203125" customWidth="1" outlineLevel="1"/>
    <col min="26" max="26" width="42.5" bestFit="1" customWidth="1"/>
    <col min="33" max="33" width="38.83203125" bestFit="1" customWidth="1"/>
    <col min="38" max="38" width="9.83203125" bestFit="1" customWidth="1"/>
    <col min="40" max="40" width="37.6640625" bestFit="1" customWidth="1"/>
  </cols>
  <sheetData>
    <row r="2" spans="2:45">
      <c r="B2" s="43" t="s">
        <v>164</v>
      </c>
      <c r="C2" s="67">
        <v>40603</v>
      </c>
      <c r="D2" s="67">
        <v>40969</v>
      </c>
      <c r="E2" s="67">
        <v>41334</v>
      </c>
      <c r="F2" s="67">
        <v>41699</v>
      </c>
      <c r="G2" s="67">
        <v>42064</v>
      </c>
      <c r="H2" s="67">
        <v>42430</v>
      </c>
      <c r="I2" s="67">
        <v>42795</v>
      </c>
      <c r="J2" s="67">
        <v>43160</v>
      </c>
      <c r="K2" s="67">
        <v>43525</v>
      </c>
      <c r="L2" s="67">
        <v>43891</v>
      </c>
      <c r="M2" s="67">
        <v>44256</v>
      </c>
      <c r="N2" s="67">
        <v>44621</v>
      </c>
    </row>
    <row r="3" spans="2:4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Z3" t="s">
        <v>414</v>
      </c>
      <c r="AG3" t="s">
        <v>123</v>
      </c>
      <c r="AN3" t="s">
        <v>661</v>
      </c>
    </row>
    <row r="4" spans="2:45">
      <c r="B4" s="1" t="s">
        <v>135</v>
      </c>
      <c r="C4" s="72">
        <v>96</v>
      </c>
      <c r="D4" s="72">
        <v>96</v>
      </c>
      <c r="E4" s="72">
        <v>96</v>
      </c>
      <c r="F4" s="72">
        <v>96</v>
      </c>
      <c r="G4" s="72">
        <v>96</v>
      </c>
      <c r="H4" s="72">
        <v>96</v>
      </c>
      <c r="I4" s="72">
        <v>96</v>
      </c>
      <c r="J4" s="72">
        <v>96</v>
      </c>
      <c r="K4" s="72">
        <v>96</v>
      </c>
      <c r="L4" s="72">
        <v>96</v>
      </c>
      <c r="M4" s="72">
        <v>96</v>
      </c>
      <c r="N4" s="72">
        <v>96</v>
      </c>
    </row>
    <row r="5" spans="2:45" ht="18">
      <c r="B5" s="1" t="s">
        <v>83</v>
      </c>
      <c r="C5" s="72">
        <v>2092</v>
      </c>
      <c r="D5" s="72">
        <v>2653</v>
      </c>
      <c r="E5" s="72">
        <v>3288</v>
      </c>
      <c r="F5" s="72">
        <v>3943</v>
      </c>
      <c r="G5" s="72">
        <v>4646</v>
      </c>
      <c r="H5" s="72">
        <v>6429</v>
      </c>
      <c r="I5" s="72">
        <v>7508</v>
      </c>
      <c r="J5" s="72">
        <v>8314</v>
      </c>
      <c r="K5" s="72">
        <v>9375</v>
      </c>
      <c r="L5" s="72">
        <v>10034</v>
      </c>
      <c r="M5" s="72">
        <v>12710</v>
      </c>
      <c r="N5" s="72">
        <v>13716</v>
      </c>
      <c r="Z5" s="187"/>
      <c r="AA5" s="188">
        <v>43800</v>
      </c>
      <c r="AB5" s="188">
        <v>44166</v>
      </c>
      <c r="AC5" s="188">
        <v>44531</v>
      </c>
      <c r="AD5" s="188">
        <v>44896</v>
      </c>
      <c r="AE5" s="188">
        <v>45261</v>
      </c>
      <c r="AG5" s="187"/>
      <c r="AH5" s="188">
        <v>43800</v>
      </c>
      <c r="AI5" s="188">
        <v>44166</v>
      </c>
      <c r="AJ5" s="188">
        <v>44531</v>
      </c>
      <c r="AK5" s="188">
        <v>44896</v>
      </c>
      <c r="AL5" s="188">
        <v>45261</v>
      </c>
      <c r="AN5" s="187"/>
      <c r="AO5" s="188">
        <v>43800</v>
      </c>
      <c r="AP5" s="188">
        <v>44166</v>
      </c>
      <c r="AQ5" s="188">
        <v>44531</v>
      </c>
      <c r="AR5" s="188">
        <v>44896</v>
      </c>
      <c r="AS5" s="188">
        <v>45261</v>
      </c>
    </row>
    <row r="6" spans="2:45" ht="18">
      <c r="B6" s="1" t="s">
        <v>136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Z6" s="189" t="s">
        <v>239</v>
      </c>
      <c r="AG6" s="189" t="s">
        <v>415</v>
      </c>
      <c r="AN6" s="189" t="s">
        <v>429</v>
      </c>
    </row>
    <row r="7" spans="2:45" ht="18">
      <c r="B7" t="s">
        <v>137</v>
      </c>
      <c r="C7" s="72">
        <v>58</v>
      </c>
      <c r="D7" s="72">
        <v>55</v>
      </c>
      <c r="E7" s="72">
        <v>47</v>
      </c>
      <c r="F7" s="72">
        <v>41</v>
      </c>
      <c r="G7" s="72">
        <v>78</v>
      </c>
      <c r="H7" s="72">
        <v>73</v>
      </c>
      <c r="I7" s="72">
        <v>41</v>
      </c>
      <c r="J7" s="72">
        <v>28</v>
      </c>
      <c r="K7" s="72">
        <v>19</v>
      </c>
      <c r="L7" s="72">
        <v>19</v>
      </c>
      <c r="M7" s="72">
        <v>15</v>
      </c>
      <c r="N7" s="72">
        <v>45</v>
      </c>
      <c r="R7" t="s">
        <v>292</v>
      </c>
      <c r="Z7" s="215" t="s">
        <v>240</v>
      </c>
      <c r="AA7" s="189" t="s">
        <v>530</v>
      </c>
      <c r="AB7" s="189" t="s">
        <v>531</v>
      </c>
      <c r="AC7" s="189" t="s">
        <v>532</v>
      </c>
      <c r="AD7" s="189" t="s">
        <v>533</v>
      </c>
      <c r="AE7" s="189" t="s">
        <v>534</v>
      </c>
      <c r="AG7" s="132" t="s">
        <v>416</v>
      </c>
      <c r="AH7" s="132" t="s">
        <v>565</v>
      </c>
      <c r="AI7" s="132" t="s">
        <v>566</v>
      </c>
      <c r="AJ7" s="132" t="s">
        <v>567</v>
      </c>
      <c r="AK7" s="132">
        <v>798</v>
      </c>
      <c r="AL7" s="208">
        <v>1431</v>
      </c>
      <c r="AN7" s="189" t="s">
        <v>430</v>
      </c>
      <c r="AO7" s="189" t="s">
        <v>358</v>
      </c>
      <c r="AP7" s="189">
        <v>575</v>
      </c>
      <c r="AQ7" s="189" t="s">
        <v>559</v>
      </c>
      <c r="AR7" s="189">
        <v>388</v>
      </c>
      <c r="AS7" s="189">
        <v>65</v>
      </c>
    </row>
    <row r="8" spans="2:45" ht="18">
      <c r="B8" t="s">
        <v>138</v>
      </c>
      <c r="C8" s="72">
        <v>171</v>
      </c>
      <c r="D8" s="72">
        <v>280</v>
      </c>
      <c r="E8" s="72">
        <v>190</v>
      </c>
      <c r="F8" s="72">
        <v>199</v>
      </c>
      <c r="G8" s="72">
        <v>332</v>
      </c>
      <c r="H8" s="72">
        <v>231</v>
      </c>
      <c r="I8" s="72">
        <v>504</v>
      </c>
      <c r="J8" s="72">
        <v>492</v>
      </c>
      <c r="K8" s="72">
        <v>597</v>
      </c>
      <c r="L8" s="72">
        <v>321</v>
      </c>
      <c r="M8" s="72">
        <v>334</v>
      </c>
      <c r="N8" s="72">
        <v>731</v>
      </c>
      <c r="Z8" s="215"/>
      <c r="AA8" s="119">
        <v>0.08</v>
      </c>
      <c r="AB8" s="120">
        <v>-0.22</v>
      </c>
      <c r="AC8" s="119">
        <v>0.15</v>
      </c>
      <c r="AD8" s="119">
        <v>0.06</v>
      </c>
      <c r="AE8" s="120">
        <v>-0.05</v>
      </c>
      <c r="AG8" s="190" t="s">
        <v>161</v>
      </c>
      <c r="AH8" s="190" t="s">
        <v>565</v>
      </c>
      <c r="AI8" s="190" t="s">
        <v>566</v>
      </c>
      <c r="AJ8" s="190" t="s">
        <v>567</v>
      </c>
      <c r="AK8" s="190">
        <v>798</v>
      </c>
      <c r="AL8" s="209">
        <v>1431</v>
      </c>
      <c r="AN8" s="132" t="s">
        <v>431</v>
      </c>
      <c r="AO8" s="132" t="s">
        <v>662</v>
      </c>
      <c r="AP8" s="132" t="s">
        <v>595</v>
      </c>
      <c r="AQ8" s="132" t="s">
        <v>663</v>
      </c>
      <c r="AR8" s="132" t="s">
        <v>664</v>
      </c>
      <c r="AS8" s="132" t="s">
        <v>665</v>
      </c>
    </row>
    <row r="9" spans="2:45" ht="18">
      <c r="B9" t="s">
        <v>139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693</v>
      </c>
      <c r="L9" s="72">
        <v>764</v>
      </c>
      <c r="M9" s="72">
        <v>745</v>
      </c>
      <c r="N9" s="72">
        <v>811</v>
      </c>
      <c r="Z9" s="189" t="s">
        <v>246</v>
      </c>
      <c r="AG9" s="132" t="s">
        <v>302</v>
      </c>
      <c r="AH9" s="132">
        <v>501</v>
      </c>
      <c r="AI9" s="132">
        <v>342</v>
      </c>
      <c r="AJ9" s="132">
        <v>213</v>
      </c>
      <c r="AK9" s="132">
        <v>502</v>
      </c>
      <c r="AL9" s="132">
        <v>361</v>
      </c>
      <c r="AN9" s="132" t="s">
        <v>434</v>
      </c>
      <c r="AO9" s="132">
        <v>-14</v>
      </c>
      <c r="AP9" s="132">
        <v>195</v>
      </c>
      <c r="AQ9" s="132">
        <v>454</v>
      </c>
      <c r="AR9" s="132">
        <v>119</v>
      </c>
      <c r="AS9" s="132">
        <v>237</v>
      </c>
    </row>
    <row r="10" spans="2:45" ht="18">
      <c r="B10" t="s">
        <v>140</v>
      </c>
      <c r="C10" s="72">
        <v>4</v>
      </c>
      <c r="D10" s="72">
        <v>6</v>
      </c>
      <c r="E10" s="72">
        <v>14</v>
      </c>
      <c r="F10" s="72">
        <v>9</v>
      </c>
      <c r="G10" s="72">
        <v>8</v>
      </c>
      <c r="H10" s="72">
        <v>20</v>
      </c>
      <c r="I10" s="72">
        <v>15</v>
      </c>
      <c r="J10" s="72">
        <v>13</v>
      </c>
      <c r="K10" s="72">
        <v>11</v>
      </c>
      <c r="L10" s="72">
        <v>15</v>
      </c>
      <c r="M10" s="72">
        <v>0</v>
      </c>
      <c r="N10" s="72">
        <v>0</v>
      </c>
      <c r="R10" t="s">
        <v>64</v>
      </c>
      <c r="S10" t="s">
        <v>31</v>
      </c>
      <c r="T10" t="s">
        <v>293</v>
      </c>
      <c r="U10" t="s">
        <v>294</v>
      </c>
      <c r="V10" t="s">
        <v>295</v>
      </c>
      <c r="W10" t="s">
        <v>296</v>
      </c>
      <c r="X10" t="s">
        <v>65</v>
      </c>
      <c r="Z10" s="132" t="s">
        <v>247</v>
      </c>
      <c r="AA10" s="132" t="s">
        <v>535</v>
      </c>
      <c r="AB10" s="132" t="s">
        <v>536</v>
      </c>
      <c r="AC10" s="132" t="s">
        <v>537</v>
      </c>
      <c r="AD10" s="132" t="s">
        <v>538</v>
      </c>
      <c r="AE10" s="132" t="s">
        <v>539</v>
      </c>
      <c r="AG10" s="132" t="s">
        <v>306</v>
      </c>
      <c r="AH10" s="132" t="s">
        <v>568</v>
      </c>
      <c r="AI10" s="132" t="s">
        <v>569</v>
      </c>
      <c r="AJ10" s="132" t="s">
        <v>570</v>
      </c>
      <c r="AK10" s="132" t="s">
        <v>571</v>
      </c>
      <c r="AL10" s="132" t="s">
        <v>572</v>
      </c>
      <c r="AN10" s="132" t="s">
        <v>435</v>
      </c>
      <c r="AO10" s="132">
        <v>692</v>
      </c>
      <c r="AP10" s="132">
        <v>404</v>
      </c>
      <c r="AQ10" s="132">
        <v>444</v>
      </c>
      <c r="AR10" s="132">
        <v>424</v>
      </c>
      <c r="AS10" s="132">
        <v>307</v>
      </c>
    </row>
    <row r="11" spans="2:45" ht="18">
      <c r="B11" s="1" t="s">
        <v>141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R11">
        <v>1928</v>
      </c>
      <c r="S11">
        <v>19.940000000000001</v>
      </c>
      <c r="T11">
        <v>17.760000000000002</v>
      </c>
      <c r="U11">
        <v>24.35</v>
      </c>
      <c r="V11">
        <v>16.95</v>
      </c>
      <c r="W11">
        <v>24.35</v>
      </c>
      <c r="X11" s="14">
        <v>0.37880000000000003</v>
      </c>
      <c r="Z11" s="215" t="s">
        <v>75</v>
      </c>
      <c r="AA11" s="189" t="s">
        <v>540</v>
      </c>
      <c r="AB11" s="189" t="s">
        <v>541</v>
      </c>
      <c r="AC11" s="189" t="s">
        <v>542</v>
      </c>
      <c r="AD11" s="189" t="s">
        <v>543</v>
      </c>
      <c r="AE11" s="189" t="s">
        <v>544</v>
      </c>
      <c r="AG11" s="190" t="s">
        <v>313</v>
      </c>
      <c r="AH11" s="190" t="s">
        <v>573</v>
      </c>
      <c r="AI11" s="190" t="s">
        <v>320</v>
      </c>
      <c r="AJ11" s="190" t="s">
        <v>574</v>
      </c>
      <c r="AK11" s="190" t="s">
        <v>575</v>
      </c>
      <c r="AL11" s="190" t="s">
        <v>576</v>
      </c>
      <c r="AN11" s="132" t="s">
        <v>440</v>
      </c>
      <c r="AO11" s="132">
        <v>156</v>
      </c>
      <c r="AP11" s="132">
        <v>157</v>
      </c>
      <c r="AQ11" s="132">
        <v>111</v>
      </c>
      <c r="AR11" s="132">
        <v>140</v>
      </c>
      <c r="AS11" s="132">
        <v>163</v>
      </c>
    </row>
    <row r="12" spans="2:45" ht="18">
      <c r="B12" t="s">
        <v>142</v>
      </c>
      <c r="C12" s="72">
        <v>110</v>
      </c>
      <c r="D12" s="72">
        <v>137</v>
      </c>
      <c r="E12" s="72">
        <v>161</v>
      </c>
      <c r="F12" s="72">
        <v>246</v>
      </c>
      <c r="G12" s="72">
        <v>264</v>
      </c>
      <c r="H12" s="72">
        <v>384</v>
      </c>
      <c r="I12" s="72">
        <v>375</v>
      </c>
      <c r="J12" s="72">
        <v>328</v>
      </c>
      <c r="K12" s="72">
        <v>361</v>
      </c>
      <c r="L12" s="72">
        <v>404</v>
      </c>
      <c r="M12" s="72">
        <v>423</v>
      </c>
      <c r="N12" s="72">
        <v>388</v>
      </c>
      <c r="R12">
        <v>1929</v>
      </c>
      <c r="S12">
        <v>26.19</v>
      </c>
      <c r="T12">
        <v>24.81</v>
      </c>
      <c r="U12">
        <v>31.86</v>
      </c>
      <c r="V12">
        <v>17.66</v>
      </c>
      <c r="W12">
        <v>21.45</v>
      </c>
      <c r="X12" s="14">
        <v>-0.1191</v>
      </c>
      <c r="Z12" s="215"/>
      <c r="AA12" s="119">
        <v>0.08</v>
      </c>
      <c r="AB12" s="120">
        <v>-0.25</v>
      </c>
      <c r="AC12" s="119">
        <v>0.17</v>
      </c>
      <c r="AD12" s="120">
        <v>-0.01</v>
      </c>
      <c r="AE12" s="120">
        <v>-0.04</v>
      </c>
      <c r="AF12" s="14"/>
      <c r="AG12" s="190" t="s">
        <v>314</v>
      </c>
      <c r="AH12" s="190">
        <v>636</v>
      </c>
      <c r="AI12" s="190">
        <v>745</v>
      </c>
      <c r="AJ12" s="190">
        <v>796</v>
      </c>
      <c r="AK12" s="190" t="s">
        <v>577</v>
      </c>
      <c r="AL12" s="190">
        <v>869</v>
      </c>
      <c r="AN12" s="132" t="s">
        <v>201</v>
      </c>
      <c r="AO12" s="132">
        <v>-940</v>
      </c>
      <c r="AP12" s="132">
        <v>-655</v>
      </c>
      <c r="AQ12" s="132">
        <v>-262</v>
      </c>
      <c r="AR12" s="132" t="s">
        <v>666</v>
      </c>
      <c r="AS12" s="132" t="s">
        <v>667</v>
      </c>
    </row>
    <row r="13" spans="2:45" ht="18">
      <c r="B13" t="s">
        <v>143</v>
      </c>
      <c r="C13" s="72">
        <v>1087</v>
      </c>
      <c r="D13" s="72">
        <v>1333</v>
      </c>
      <c r="E13" s="72">
        <v>1442</v>
      </c>
      <c r="F13" s="72">
        <v>1746</v>
      </c>
      <c r="G13" s="72">
        <v>1549</v>
      </c>
      <c r="H13" s="72">
        <v>1565</v>
      </c>
      <c r="I13" s="72">
        <v>1923</v>
      </c>
      <c r="J13" s="72">
        <v>2160</v>
      </c>
      <c r="K13" s="72">
        <v>2394</v>
      </c>
      <c r="L13" s="72">
        <v>2137</v>
      </c>
      <c r="M13" s="72">
        <v>3379</v>
      </c>
      <c r="N13" s="72">
        <v>4164</v>
      </c>
      <c r="R13">
        <v>1930</v>
      </c>
      <c r="S13">
        <v>21</v>
      </c>
      <c r="T13">
        <v>21.18</v>
      </c>
      <c r="U13">
        <v>25.92</v>
      </c>
      <c r="V13">
        <v>14.44</v>
      </c>
      <c r="W13">
        <v>15.34</v>
      </c>
      <c r="X13" s="14">
        <v>-0.2848</v>
      </c>
      <c r="Z13" s="189" t="s">
        <v>258</v>
      </c>
      <c r="AG13" s="132" t="s">
        <v>91</v>
      </c>
      <c r="AH13" s="132" t="s">
        <v>579</v>
      </c>
      <c r="AI13" s="132" t="s">
        <v>580</v>
      </c>
      <c r="AJ13" s="132" t="s">
        <v>581</v>
      </c>
      <c r="AK13" s="132" t="s">
        <v>582</v>
      </c>
      <c r="AL13" s="132" t="s">
        <v>583</v>
      </c>
      <c r="AN13" s="215" t="s">
        <v>95</v>
      </c>
      <c r="AO13" s="189" t="s">
        <v>668</v>
      </c>
      <c r="AP13" s="189" t="s">
        <v>669</v>
      </c>
      <c r="AQ13" s="189" t="s">
        <v>670</v>
      </c>
      <c r="AR13" s="189">
        <v>-544</v>
      </c>
      <c r="AS13" s="189" t="s">
        <v>671</v>
      </c>
    </row>
    <row r="14" spans="2:45" ht="18">
      <c r="B14" t="s">
        <v>144</v>
      </c>
      <c r="C14" s="72">
        <v>0</v>
      </c>
      <c r="D14" s="72">
        <v>0</v>
      </c>
      <c r="E14" s="72">
        <v>0</v>
      </c>
      <c r="F14" s="72">
        <v>0</v>
      </c>
      <c r="G14" s="72">
        <v>5</v>
      </c>
      <c r="H14" s="72">
        <v>12</v>
      </c>
      <c r="I14" s="72">
        <v>17</v>
      </c>
      <c r="J14" s="72">
        <v>16</v>
      </c>
      <c r="K14" s="72">
        <v>13</v>
      </c>
      <c r="L14" s="72">
        <v>29</v>
      </c>
      <c r="M14" s="72">
        <v>41</v>
      </c>
      <c r="N14" s="72">
        <v>76</v>
      </c>
      <c r="R14">
        <v>1931</v>
      </c>
      <c r="S14">
        <v>13.66</v>
      </c>
      <c r="T14">
        <v>15.85</v>
      </c>
      <c r="U14">
        <v>18.170000000000002</v>
      </c>
      <c r="V14">
        <v>7.72</v>
      </c>
      <c r="W14">
        <v>8.1199999999999992</v>
      </c>
      <c r="X14" s="14">
        <v>-0.47070000000000001</v>
      </c>
      <c r="Z14" s="132" t="s">
        <v>259</v>
      </c>
      <c r="AA14" s="132" t="s">
        <v>545</v>
      </c>
      <c r="AB14" s="132" t="s">
        <v>546</v>
      </c>
      <c r="AC14" s="132" t="s">
        <v>547</v>
      </c>
      <c r="AD14" s="132" t="s">
        <v>548</v>
      </c>
      <c r="AE14" s="132" t="s">
        <v>549</v>
      </c>
      <c r="AG14" s="132" t="s">
        <v>319</v>
      </c>
      <c r="AH14" s="132">
        <v>850</v>
      </c>
      <c r="AI14" s="132">
        <v>708</v>
      </c>
      <c r="AJ14" s="132" t="s">
        <v>584</v>
      </c>
      <c r="AK14" s="132">
        <v>901</v>
      </c>
      <c r="AL14" s="132">
        <v>707</v>
      </c>
      <c r="AN14" s="215"/>
      <c r="AO14" s="119">
        <v>0.05</v>
      </c>
      <c r="AP14" s="120">
        <v>-0.47</v>
      </c>
      <c r="AQ14" s="119">
        <v>1.1499999999999999</v>
      </c>
      <c r="AR14" s="187" t="s">
        <v>529</v>
      </c>
      <c r="AS14" s="187" t="s">
        <v>529</v>
      </c>
    </row>
    <row r="15" spans="2:45" ht="18">
      <c r="B15" t="s">
        <v>145</v>
      </c>
      <c r="C15" s="73">
        <v>992</v>
      </c>
      <c r="D15" s="73">
        <v>1153</v>
      </c>
      <c r="E15" s="73">
        <v>1547</v>
      </c>
      <c r="F15" s="73">
        <v>1795</v>
      </c>
      <c r="G15" s="73">
        <v>1937</v>
      </c>
      <c r="H15" s="73">
        <v>1750</v>
      </c>
      <c r="I15" s="73">
        <v>1925</v>
      </c>
      <c r="J15" s="73">
        <v>2316</v>
      </c>
      <c r="K15" s="73">
        <v>2690</v>
      </c>
      <c r="L15" s="73">
        <v>2320</v>
      </c>
      <c r="M15" s="73">
        <v>2613</v>
      </c>
      <c r="N15" s="73">
        <v>2932</v>
      </c>
      <c r="R15">
        <v>1932</v>
      </c>
      <c r="S15">
        <v>6.92</v>
      </c>
      <c r="T15">
        <v>7.82</v>
      </c>
      <c r="U15">
        <v>9.31</v>
      </c>
      <c r="V15">
        <v>4.4000000000000004</v>
      </c>
      <c r="W15">
        <v>6.89</v>
      </c>
      <c r="X15" s="14">
        <v>-0.1515</v>
      </c>
      <c r="Z15" s="190" t="s">
        <v>265</v>
      </c>
      <c r="AA15" s="190" t="s">
        <v>550</v>
      </c>
      <c r="AB15" s="190" t="s">
        <v>551</v>
      </c>
      <c r="AC15" s="190" t="s">
        <v>552</v>
      </c>
      <c r="AD15" s="190" t="s">
        <v>553</v>
      </c>
      <c r="AE15" s="190" t="s">
        <v>554</v>
      </c>
      <c r="AG15" s="189" t="s">
        <v>93</v>
      </c>
      <c r="AH15" s="189" t="s">
        <v>585</v>
      </c>
      <c r="AI15" s="189" t="s">
        <v>586</v>
      </c>
      <c r="AJ15" s="189" t="s">
        <v>587</v>
      </c>
      <c r="AK15" s="189" t="s">
        <v>588</v>
      </c>
      <c r="AL15" s="189" t="s">
        <v>589</v>
      </c>
      <c r="AN15" s="189" t="s">
        <v>448</v>
      </c>
    </row>
    <row r="16" spans="2:45" ht="18">
      <c r="B16" s="70" t="s">
        <v>86</v>
      </c>
      <c r="C16" s="70">
        <v>4611</v>
      </c>
      <c r="D16" s="70">
        <v>5712</v>
      </c>
      <c r="E16" s="70">
        <v>6784</v>
      </c>
      <c r="F16" s="70">
        <v>8075</v>
      </c>
      <c r="G16" s="70">
        <v>8914</v>
      </c>
      <c r="H16" s="70">
        <v>10559</v>
      </c>
      <c r="I16" s="70">
        <v>12405</v>
      </c>
      <c r="J16" s="70">
        <v>13763</v>
      </c>
      <c r="K16" s="70">
        <v>16249</v>
      </c>
      <c r="L16" s="70">
        <v>16138</v>
      </c>
      <c r="M16" s="70">
        <v>20355</v>
      </c>
      <c r="N16" s="70">
        <v>22958</v>
      </c>
      <c r="R16">
        <v>1933</v>
      </c>
      <c r="S16">
        <v>9.0399999999999991</v>
      </c>
      <c r="T16">
        <v>6.83</v>
      </c>
      <c r="U16">
        <v>12.2</v>
      </c>
      <c r="V16">
        <v>5.53</v>
      </c>
      <c r="W16">
        <v>10.1</v>
      </c>
      <c r="X16" s="14">
        <v>0.46589999999999998</v>
      </c>
      <c r="Z16" s="190" t="s">
        <v>555</v>
      </c>
      <c r="AA16" s="190">
        <v>-152</v>
      </c>
      <c r="AB16" s="190">
        <v>-115</v>
      </c>
      <c r="AC16" s="190">
        <v>-130</v>
      </c>
      <c r="AD16" s="190">
        <v>-153</v>
      </c>
      <c r="AE16" s="190">
        <v>-151</v>
      </c>
      <c r="AG16" s="132" t="s">
        <v>330</v>
      </c>
      <c r="AH16" s="132" t="s">
        <v>590</v>
      </c>
      <c r="AI16" s="132" t="s">
        <v>591</v>
      </c>
      <c r="AJ16" s="132" t="s">
        <v>592</v>
      </c>
      <c r="AK16" s="132" t="s">
        <v>593</v>
      </c>
      <c r="AL16" s="132" t="s">
        <v>594</v>
      </c>
      <c r="AN16" s="132" t="s">
        <v>449</v>
      </c>
      <c r="AO16" s="132">
        <v>-708</v>
      </c>
      <c r="AP16" s="132">
        <v>-443</v>
      </c>
      <c r="AQ16" s="132">
        <v>-667</v>
      </c>
      <c r="AR16" s="132">
        <v>-695</v>
      </c>
      <c r="AS16" s="132">
        <v>-504</v>
      </c>
    </row>
    <row r="17" spans="2:45" ht="18"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R17">
        <v>1934</v>
      </c>
      <c r="S17">
        <v>9.83</v>
      </c>
      <c r="T17">
        <v>10.11</v>
      </c>
      <c r="U17">
        <v>11.82</v>
      </c>
      <c r="V17">
        <v>8.36</v>
      </c>
      <c r="W17">
        <v>9.5</v>
      </c>
      <c r="X17" s="14">
        <v>-5.9400000000000001E-2</v>
      </c>
      <c r="Z17" s="190" t="s">
        <v>431</v>
      </c>
      <c r="AA17" s="190">
        <v>0</v>
      </c>
      <c r="AB17" s="190">
        <v>0</v>
      </c>
      <c r="AC17" s="190">
        <v>0</v>
      </c>
      <c r="AD17" s="190">
        <v>0</v>
      </c>
      <c r="AE17" s="190">
        <v>0</v>
      </c>
      <c r="AG17" s="190" t="s">
        <v>336</v>
      </c>
      <c r="AH17" s="190" t="s">
        <v>590</v>
      </c>
      <c r="AI17" s="190" t="s">
        <v>591</v>
      </c>
      <c r="AJ17" s="190" t="s">
        <v>592</v>
      </c>
      <c r="AK17" s="190" t="s">
        <v>593</v>
      </c>
      <c r="AL17" s="190" t="s">
        <v>594</v>
      </c>
      <c r="AN17" s="132" t="s">
        <v>453</v>
      </c>
      <c r="AO17" s="132">
        <v>-217</v>
      </c>
      <c r="AP17" s="132">
        <v>328</v>
      </c>
      <c r="AQ17" s="132">
        <v>243</v>
      </c>
      <c r="AR17" s="132" t="s">
        <v>672</v>
      </c>
      <c r="AS17" s="132">
        <v>54</v>
      </c>
    </row>
    <row r="18" spans="2:45" ht="18">
      <c r="B18" s="1" t="s">
        <v>146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R18">
        <v>1935</v>
      </c>
      <c r="S18">
        <v>10.58</v>
      </c>
      <c r="T18">
        <v>9.51</v>
      </c>
      <c r="U18">
        <v>13.46</v>
      </c>
      <c r="V18">
        <v>8.06</v>
      </c>
      <c r="W18">
        <v>13.43</v>
      </c>
      <c r="X18" s="14">
        <v>0.41370000000000001</v>
      </c>
      <c r="Z18" s="190" t="s">
        <v>556</v>
      </c>
      <c r="AA18" s="190">
        <v>205</v>
      </c>
      <c r="AB18" s="190">
        <v>101</v>
      </c>
      <c r="AC18" s="190">
        <v>108</v>
      </c>
      <c r="AD18" s="190">
        <v>282</v>
      </c>
      <c r="AE18" s="190">
        <v>11</v>
      </c>
      <c r="AG18" s="190" t="s">
        <v>156</v>
      </c>
      <c r="AH18" s="190" t="s">
        <v>596</v>
      </c>
      <c r="AI18" s="190" t="s">
        <v>597</v>
      </c>
      <c r="AJ18" s="190" t="s">
        <v>598</v>
      </c>
      <c r="AK18" s="190" t="s">
        <v>599</v>
      </c>
      <c r="AL18" s="190" t="s">
        <v>600</v>
      </c>
      <c r="AN18" s="215" t="s">
        <v>96</v>
      </c>
      <c r="AO18" s="189">
        <v>-925</v>
      </c>
      <c r="AP18" s="189">
        <v>-115</v>
      </c>
      <c r="AQ18" s="189">
        <v>-424</v>
      </c>
      <c r="AR18" s="189">
        <v>495</v>
      </c>
      <c r="AS18" s="189">
        <v>-450</v>
      </c>
    </row>
    <row r="19" spans="2:45" ht="18">
      <c r="B19" t="s">
        <v>147</v>
      </c>
      <c r="C19" s="72">
        <v>220</v>
      </c>
      <c r="D19" s="72">
        <v>225</v>
      </c>
      <c r="E19" s="72">
        <v>238</v>
      </c>
      <c r="F19" s="72">
        <v>247</v>
      </c>
      <c r="G19" s="72">
        <v>251</v>
      </c>
      <c r="H19" s="72">
        <v>429</v>
      </c>
      <c r="I19" s="72">
        <v>408</v>
      </c>
      <c r="J19" s="72">
        <v>586</v>
      </c>
      <c r="K19" s="72">
        <v>605</v>
      </c>
      <c r="L19" s="72">
        <v>640</v>
      </c>
      <c r="M19" s="72">
        <v>644</v>
      </c>
      <c r="N19" s="72">
        <v>644</v>
      </c>
      <c r="R19">
        <v>1936</v>
      </c>
      <c r="S19">
        <v>15.45</v>
      </c>
      <c r="T19">
        <v>13.4</v>
      </c>
      <c r="U19">
        <v>17.690000000000001</v>
      </c>
      <c r="V19">
        <v>13.4</v>
      </c>
      <c r="W19">
        <v>17.18</v>
      </c>
      <c r="X19" s="14">
        <v>0.2792</v>
      </c>
      <c r="Z19" s="215" t="s">
        <v>266</v>
      </c>
      <c r="AA19" s="189" t="s">
        <v>557</v>
      </c>
      <c r="AB19" s="189">
        <v>859</v>
      </c>
      <c r="AC19" s="189" t="s">
        <v>558</v>
      </c>
      <c r="AD19" s="189">
        <v>848</v>
      </c>
      <c r="AE19" s="189">
        <v>261</v>
      </c>
      <c r="AG19" s="132" t="s">
        <v>153</v>
      </c>
      <c r="AH19" s="132" t="s">
        <v>601</v>
      </c>
      <c r="AI19" s="132" t="s">
        <v>602</v>
      </c>
      <c r="AJ19" s="132">
        <v>352</v>
      </c>
      <c r="AK19" s="132">
        <v>429</v>
      </c>
      <c r="AL19" s="132">
        <v>442</v>
      </c>
      <c r="AN19" s="215"/>
      <c r="AO19" s="120">
        <v>-0.45</v>
      </c>
      <c r="AP19" s="119">
        <v>0.88</v>
      </c>
      <c r="AQ19" s="120">
        <v>-2.69</v>
      </c>
      <c r="AR19" s="187" t="s">
        <v>529</v>
      </c>
      <c r="AS19" s="187" t="s">
        <v>529</v>
      </c>
    </row>
    <row r="20" spans="2:45" ht="18">
      <c r="B20" t="s">
        <v>148</v>
      </c>
      <c r="C20" s="72">
        <v>553</v>
      </c>
      <c r="D20" s="72">
        <v>573</v>
      </c>
      <c r="E20" s="72">
        <v>874</v>
      </c>
      <c r="F20" s="72">
        <v>931</v>
      </c>
      <c r="G20" s="72">
        <v>962</v>
      </c>
      <c r="H20" s="72">
        <v>923</v>
      </c>
      <c r="I20" s="72">
        <v>931</v>
      </c>
      <c r="J20" s="72">
        <v>957</v>
      </c>
      <c r="K20" s="72">
        <v>2402</v>
      </c>
      <c r="L20" s="72">
        <v>2257</v>
      </c>
      <c r="M20" s="72">
        <v>2249</v>
      </c>
      <c r="N20" s="72">
        <v>2325</v>
      </c>
      <c r="R20">
        <v>1937</v>
      </c>
      <c r="S20">
        <v>15.41</v>
      </c>
      <c r="T20">
        <v>17.02</v>
      </c>
      <c r="U20">
        <v>18.68</v>
      </c>
      <c r="V20">
        <v>10.17</v>
      </c>
      <c r="W20">
        <v>10.55</v>
      </c>
      <c r="X20" s="14">
        <v>-0.38590000000000002</v>
      </c>
      <c r="Z20" s="215"/>
      <c r="AA20" s="119">
        <v>0.13</v>
      </c>
      <c r="AB20" s="120">
        <v>-0.69</v>
      </c>
      <c r="AC20" s="119">
        <v>1.39</v>
      </c>
      <c r="AD20" s="120">
        <v>-0.59</v>
      </c>
      <c r="AE20" s="120">
        <v>-0.69</v>
      </c>
      <c r="AG20" s="132" t="s">
        <v>341</v>
      </c>
      <c r="AH20" s="132" t="s">
        <v>603</v>
      </c>
      <c r="AI20" s="132" t="s">
        <v>604</v>
      </c>
      <c r="AJ20" s="132" t="s">
        <v>605</v>
      </c>
      <c r="AK20" s="132" t="s">
        <v>606</v>
      </c>
      <c r="AL20" s="132" t="s">
        <v>607</v>
      </c>
      <c r="AN20" s="189" t="s">
        <v>458</v>
      </c>
    </row>
    <row r="21" spans="2:45" ht="18">
      <c r="B21" t="s">
        <v>149</v>
      </c>
      <c r="C21" s="72">
        <v>1011</v>
      </c>
      <c r="D21" s="72">
        <v>1070</v>
      </c>
      <c r="E21" s="72">
        <v>1956</v>
      </c>
      <c r="F21" s="72">
        <v>2054</v>
      </c>
      <c r="G21" s="72">
        <v>2132</v>
      </c>
      <c r="H21" s="72">
        <v>1793</v>
      </c>
      <c r="I21" s="72">
        <v>1980</v>
      </c>
      <c r="J21" s="72">
        <v>2157</v>
      </c>
      <c r="K21" s="72">
        <v>4006</v>
      </c>
      <c r="L21" s="72">
        <v>4208</v>
      </c>
      <c r="M21" s="72">
        <v>4340</v>
      </c>
      <c r="N21" s="72">
        <v>4531</v>
      </c>
      <c r="R21">
        <v>1938</v>
      </c>
      <c r="S21">
        <v>11.48</v>
      </c>
      <c r="T21">
        <v>10.52</v>
      </c>
      <c r="U21">
        <v>13.91</v>
      </c>
      <c r="V21">
        <v>8.5</v>
      </c>
      <c r="W21">
        <v>13.21</v>
      </c>
      <c r="X21" s="14">
        <v>0.25209999999999999</v>
      </c>
      <c r="Z21" s="189" t="s">
        <v>272</v>
      </c>
      <c r="AG21" s="132" t="s">
        <v>608</v>
      </c>
      <c r="AH21" s="132">
        <v>150</v>
      </c>
      <c r="AI21" s="132">
        <v>166</v>
      </c>
      <c r="AJ21" s="132">
        <v>0</v>
      </c>
      <c r="AK21" s="132">
        <v>0</v>
      </c>
      <c r="AL21" s="132">
        <v>0</v>
      </c>
      <c r="AN21" s="132" t="s">
        <v>459</v>
      </c>
      <c r="AO21" s="132">
        <v>-813</v>
      </c>
      <c r="AP21" s="132">
        <v>-261</v>
      </c>
      <c r="AQ21" s="132" t="s">
        <v>673</v>
      </c>
      <c r="AR21" s="132" t="s">
        <v>674</v>
      </c>
      <c r="AS21" s="132">
        <v>-4</v>
      </c>
    </row>
    <row r="22" spans="2:45" ht="18">
      <c r="B22" t="s">
        <v>150</v>
      </c>
      <c r="C22" s="72">
        <v>66</v>
      </c>
      <c r="D22" s="72">
        <v>79</v>
      </c>
      <c r="E22" s="72">
        <v>137</v>
      </c>
      <c r="F22" s="72">
        <v>155</v>
      </c>
      <c r="G22" s="72">
        <v>171</v>
      </c>
      <c r="H22" s="72">
        <v>97</v>
      </c>
      <c r="I22" s="72">
        <v>119</v>
      </c>
      <c r="J22" s="72">
        <v>200</v>
      </c>
      <c r="K22" s="72">
        <v>221</v>
      </c>
      <c r="L22" s="72">
        <v>241</v>
      </c>
      <c r="M22" s="72">
        <v>243</v>
      </c>
      <c r="N22" s="72">
        <v>253</v>
      </c>
      <c r="R22">
        <v>1939</v>
      </c>
      <c r="S22">
        <v>12.05</v>
      </c>
      <c r="T22">
        <v>13.08</v>
      </c>
      <c r="U22">
        <v>13.23</v>
      </c>
      <c r="V22">
        <v>10.18</v>
      </c>
      <c r="W22">
        <v>12.49</v>
      </c>
      <c r="X22" s="14">
        <v>-5.45E-2</v>
      </c>
      <c r="Z22" s="132" t="s">
        <v>273</v>
      </c>
      <c r="AA22" s="132">
        <v>-115</v>
      </c>
      <c r="AB22" s="132">
        <v>-166</v>
      </c>
      <c r="AC22" s="132">
        <v>-135</v>
      </c>
      <c r="AD22" s="132">
        <v>-268</v>
      </c>
      <c r="AE22" s="132">
        <v>-238</v>
      </c>
      <c r="AG22" s="132" t="s">
        <v>609</v>
      </c>
      <c r="AH22" s="132">
        <v>510</v>
      </c>
      <c r="AI22" s="132">
        <v>478</v>
      </c>
      <c r="AJ22" s="132">
        <v>397</v>
      </c>
      <c r="AK22" s="132">
        <v>634</v>
      </c>
      <c r="AL22" s="132">
        <v>717</v>
      </c>
      <c r="AN22" s="132" t="s">
        <v>464</v>
      </c>
      <c r="AO22" s="132">
        <v>-639</v>
      </c>
      <c r="AP22" s="132">
        <v>903</v>
      </c>
      <c r="AQ22" s="132" t="s">
        <v>675</v>
      </c>
      <c r="AR22" s="132">
        <v>345</v>
      </c>
      <c r="AS22" s="132" t="s">
        <v>676</v>
      </c>
    </row>
    <row r="23" spans="2:45" ht="18">
      <c r="B23" t="s">
        <v>151</v>
      </c>
      <c r="C23" s="72">
        <v>45</v>
      </c>
      <c r="D23" s="72">
        <v>50</v>
      </c>
      <c r="E23" s="72">
        <v>57</v>
      </c>
      <c r="F23" s="72">
        <v>71</v>
      </c>
      <c r="G23" s="72">
        <v>83</v>
      </c>
      <c r="H23" s="72">
        <v>49</v>
      </c>
      <c r="I23" s="72">
        <v>59</v>
      </c>
      <c r="J23" s="72">
        <v>72</v>
      </c>
      <c r="K23" s="72">
        <v>88</v>
      </c>
      <c r="L23" s="72">
        <v>94</v>
      </c>
      <c r="M23" s="72">
        <v>99</v>
      </c>
      <c r="N23" s="72">
        <v>113</v>
      </c>
      <c r="R23">
        <v>1940</v>
      </c>
      <c r="S23">
        <v>11.01</v>
      </c>
      <c r="T23">
        <v>12.63</v>
      </c>
      <c r="U23">
        <v>12.77</v>
      </c>
      <c r="V23">
        <v>8.99</v>
      </c>
      <c r="W23">
        <v>10.58</v>
      </c>
      <c r="X23" s="14">
        <v>-0.15290000000000001</v>
      </c>
      <c r="Z23" s="132" t="s">
        <v>274</v>
      </c>
      <c r="AA23" s="132">
        <v>-129</v>
      </c>
      <c r="AB23" s="132">
        <v>-113</v>
      </c>
      <c r="AC23" s="132">
        <v>-71</v>
      </c>
      <c r="AD23" s="132">
        <v>-179</v>
      </c>
      <c r="AE23" s="132">
        <v>7</v>
      </c>
      <c r="AG23" s="132" t="s">
        <v>342</v>
      </c>
      <c r="AH23" s="132" t="s">
        <v>610</v>
      </c>
      <c r="AI23" s="132" t="s">
        <v>611</v>
      </c>
      <c r="AJ23" s="132" t="s">
        <v>612</v>
      </c>
      <c r="AK23" s="132" t="s">
        <v>613</v>
      </c>
      <c r="AL23" s="132" t="s">
        <v>614</v>
      </c>
      <c r="AN23" s="132" t="s">
        <v>466</v>
      </c>
      <c r="AO23" s="132">
        <v>-664</v>
      </c>
      <c r="AP23" s="132">
        <v>0</v>
      </c>
      <c r="AQ23" s="132">
        <v>-585</v>
      </c>
      <c r="AR23" s="132">
        <v>-610</v>
      </c>
      <c r="AS23" s="132">
        <v>-125</v>
      </c>
    </row>
    <row r="24" spans="2:45" ht="18">
      <c r="B24" t="s">
        <v>152</v>
      </c>
      <c r="C24" s="72">
        <v>9</v>
      </c>
      <c r="D24" s="72">
        <v>11</v>
      </c>
      <c r="E24" s="72">
        <v>11</v>
      </c>
      <c r="F24" s="72">
        <v>14</v>
      </c>
      <c r="G24" s="72">
        <v>18</v>
      </c>
      <c r="H24" s="72">
        <v>11</v>
      </c>
      <c r="I24" s="72">
        <v>14</v>
      </c>
      <c r="J24" s="72">
        <v>27</v>
      </c>
      <c r="K24" s="72">
        <v>47</v>
      </c>
      <c r="L24" s="72">
        <v>43</v>
      </c>
      <c r="M24" s="72">
        <v>38</v>
      </c>
      <c r="N24" s="72">
        <v>32</v>
      </c>
      <c r="R24">
        <v>1941</v>
      </c>
      <c r="S24">
        <v>9.83</v>
      </c>
      <c r="T24">
        <v>10.48</v>
      </c>
      <c r="U24">
        <v>10.86</v>
      </c>
      <c r="V24">
        <v>8.3699999999999992</v>
      </c>
      <c r="W24">
        <v>8.69</v>
      </c>
      <c r="X24" s="14">
        <v>-0.17860000000000001</v>
      </c>
      <c r="Z24" s="132" t="s">
        <v>275</v>
      </c>
      <c r="AA24" s="132">
        <v>13</v>
      </c>
      <c r="AB24" s="132">
        <v>-2</v>
      </c>
      <c r="AC24" s="132">
        <v>1</v>
      </c>
      <c r="AD24" s="132">
        <v>-13</v>
      </c>
      <c r="AE24" s="132">
        <v>35</v>
      </c>
      <c r="AG24" s="132" t="s">
        <v>89</v>
      </c>
      <c r="AH24" s="132" t="s">
        <v>603</v>
      </c>
      <c r="AI24" s="132" t="s">
        <v>604</v>
      </c>
      <c r="AJ24" s="132" t="s">
        <v>605</v>
      </c>
      <c r="AK24" s="132" t="s">
        <v>606</v>
      </c>
      <c r="AL24" s="132" t="s">
        <v>607</v>
      </c>
      <c r="AN24" s="132" t="s">
        <v>473</v>
      </c>
      <c r="AO24" s="132">
        <v>-157</v>
      </c>
      <c r="AP24" s="132">
        <v>-163</v>
      </c>
      <c r="AQ24" s="132">
        <v>-150</v>
      </c>
      <c r="AR24" s="132">
        <v>-193</v>
      </c>
      <c r="AS24" s="132">
        <v>-196</v>
      </c>
    </row>
    <row r="25" spans="2:45" ht="18">
      <c r="B25" t="s">
        <v>153</v>
      </c>
      <c r="C25" s="72">
        <v>59</v>
      </c>
      <c r="D25" s="72">
        <v>53</v>
      </c>
      <c r="E25" s="72">
        <v>57</v>
      </c>
      <c r="F25" s="72">
        <v>203</v>
      </c>
      <c r="G25" s="72">
        <v>351</v>
      </c>
      <c r="H25" s="72">
        <v>339</v>
      </c>
      <c r="I25" s="72">
        <v>276</v>
      </c>
      <c r="J25" s="72">
        <v>468</v>
      </c>
      <c r="K25" s="72">
        <v>512</v>
      </c>
      <c r="L25" s="72">
        <v>505</v>
      </c>
      <c r="M25" s="72">
        <v>476</v>
      </c>
      <c r="N25" s="72">
        <v>411</v>
      </c>
      <c r="R25">
        <v>1942</v>
      </c>
      <c r="S25">
        <v>8.67</v>
      </c>
      <c r="T25">
        <v>8.89</v>
      </c>
      <c r="U25">
        <v>9.77</v>
      </c>
      <c r="V25">
        <v>7.47</v>
      </c>
      <c r="W25">
        <v>9.77</v>
      </c>
      <c r="X25" s="14">
        <v>0.12429999999999999</v>
      </c>
      <c r="Z25" s="215" t="s">
        <v>423</v>
      </c>
      <c r="AA25" s="189" t="s">
        <v>358</v>
      </c>
      <c r="AB25" s="189">
        <v>578</v>
      </c>
      <c r="AC25" s="189" t="s">
        <v>559</v>
      </c>
      <c r="AD25" s="189">
        <v>388</v>
      </c>
      <c r="AE25" s="189">
        <v>65</v>
      </c>
      <c r="AG25" s="215" t="s">
        <v>94</v>
      </c>
      <c r="AH25" s="189" t="s">
        <v>615</v>
      </c>
      <c r="AI25" s="189" t="s">
        <v>616</v>
      </c>
      <c r="AJ25" s="189" t="s">
        <v>617</v>
      </c>
      <c r="AK25" s="189" t="s">
        <v>618</v>
      </c>
      <c r="AL25" s="189" t="s">
        <v>619</v>
      </c>
      <c r="AN25" s="215" t="s">
        <v>97</v>
      </c>
      <c r="AO25" s="189" t="s">
        <v>677</v>
      </c>
      <c r="AP25" s="189">
        <v>479</v>
      </c>
      <c r="AQ25" s="189" t="s">
        <v>678</v>
      </c>
      <c r="AR25" s="189" t="s">
        <v>679</v>
      </c>
      <c r="AS25" s="189" t="s">
        <v>680</v>
      </c>
    </row>
    <row r="26" spans="2:45" ht="18">
      <c r="B26" t="s">
        <v>154</v>
      </c>
      <c r="C26" s="72">
        <v>62</v>
      </c>
      <c r="D26" s="72">
        <v>84</v>
      </c>
      <c r="E26" s="72">
        <v>99</v>
      </c>
      <c r="F26" s="72">
        <v>128</v>
      </c>
      <c r="G26" s="72">
        <v>145</v>
      </c>
      <c r="H26" s="72">
        <v>103</v>
      </c>
      <c r="I26" s="72">
        <v>128</v>
      </c>
      <c r="J26" s="72">
        <v>238</v>
      </c>
      <c r="K26" s="72">
        <v>261</v>
      </c>
      <c r="L26" s="72">
        <v>293</v>
      </c>
      <c r="M26" s="72">
        <v>302</v>
      </c>
      <c r="N26" s="72">
        <v>294</v>
      </c>
      <c r="R26">
        <v>1943</v>
      </c>
      <c r="S26">
        <v>11.52</v>
      </c>
      <c r="T26">
        <v>9.84</v>
      </c>
      <c r="U26">
        <v>12.64</v>
      </c>
      <c r="V26">
        <v>9.84</v>
      </c>
      <c r="W26">
        <v>11.67</v>
      </c>
      <c r="X26" s="14">
        <v>0.19450000000000001</v>
      </c>
      <c r="Z26" s="215"/>
      <c r="AA26" s="119">
        <v>0.08</v>
      </c>
      <c r="AB26" s="120">
        <v>-0.77</v>
      </c>
      <c r="AC26" s="119">
        <v>2.2000000000000002</v>
      </c>
      <c r="AD26" s="120">
        <v>-0.79</v>
      </c>
      <c r="AE26" s="120">
        <v>-0.83</v>
      </c>
      <c r="AG26" s="215"/>
      <c r="AH26" s="119">
        <v>0.32</v>
      </c>
      <c r="AI26" s="119">
        <v>0.02</v>
      </c>
      <c r="AJ26" s="119">
        <v>0.05</v>
      </c>
      <c r="AK26" s="120">
        <v>-0.08</v>
      </c>
      <c r="AL26" s="120">
        <v>-0.11</v>
      </c>
      <c r="AN26" s="215"/>
      <c r="AO26" s="120">
        <v>-1.29</v>
      </c>
      <c r="AP26" s="187" t="s">
        <v>529</v>
      </c>
      <c r="AQ26" s="187" t="s">
        <v>529</v>
      </c>
      <c r="AR26" s="119">
        <v>0.01</v>
      </c>
      <c r="AS26" s="119">
        <v>0.52</v>
      </c>
    </row>
    <row r="27" spans="2:45" ht="18">
      <c r="B27" s="1" t="s">
        <v>155</v>
      </c>
      <c r="C27" s="74">
        <v>2025</v>
      </c>
      <c r="D27" s="74">
        <v>2146</v>
      </c>
      <c r="E27" s="74">
        <v>3429</v>
      </c>
      <c r="F27" s="74">
        <v>3804</v>
      </c>
      <c r="G27" s="74">
        <v>4112</v>
      </c>
      <c r="H27" s="74">
        <v>3744</v>
      </c>
      <c r="I27" s="74">
        <v>3914</v>
      </c>
      <c r="J27" s="74">
        <v>4705</v>
      </c>
      <c r="K27" s="74">
        <v>8141</v>
      </c>
      <c r="L27" s="74">
        <v>8282</v>
      </c>
      <c r="M27" s="74">
        <v>8392</v>
      </c>
      <c r="N27" s="74">
        <v>8604</v>
      </c>
      <c r="R27">
        <v>1944</v>
      </c>
      <c r="S27">
        <v>12.47</v>
      </c>
      <c r="T27">
        <v>11.66</v>
      </c>
      <c r="U27">
        <v>13.29</v>
      </c>
      <c r="V27">
        <v>11.56</v>
      </c>
      <c r="W27">
        <v>13.28</v>
      </c>
      <c r="X27" s="14">
        <v>0.13800000000000001</v>
      </c>
      <c r="Z27" s="189" t="s">
        <v>276</v>
      </c>
      <c r="AG27" s="189" t="s">
        <v>417</v>
      </c>
      <c r="AN27" s="189" t="s">
        <v>479</v>
      </c>
    </row>
    <row r="28" spans="2:45" ht="18">
      <c r="B28" s="1" t="s">
        <v>156</v>
      </c>
      <c r="C28" s="73">
        <v>704</v>
      </c>
      <c r="D28" s="73">
        <v>834</v>
      </c>
      <c r="E28" s="73">
        <v>979</v>
      </c>
      <c r="F28" s="73">
        <v>1223</v>
      </c>
      <c r="G28" s="73">
        <v>1438</v>
      </c>
      <c r="H28" s="73">
        <v>275</v>
      </c>
      <c r="I28" s="73">
        <v>610</v>
      </c>
      <c r="J28" s="73">
        <v>973</v>
      </c>
      <c r="K28" s="73">
        <v>1592</v>
      </c>
      <c r="L28" s="73">
        <v>2010</v>
      </c>
      <c r="M28" s="73">
        <v>2533</v>
      </c>
      <c r="N28" s="73">
        <v>3085</v>
      </c>
      <c r="R28">
        <v>1945</v>
      </c>
      <c r="S28">
        <v>15.14</v>
      </c>
      <c r="T28">
        <v>13.33</v>
      </c>
      <c r="U28">
        <v>17.68</v>
      </c>
      <c r="V28">
        <v>13.21</v>
      </c>
      <c r="W28">
        <v>17.36</v>
      </c>
      <c r="X28" s="14">
        <v>0.30719999999999997</v>
      </c>
      <c r="Z28" s="132" t="s">
        <v>277</v>
      </c>
      <c r="AA28" s="132">
        <v>-640</v>
      </c>
      <c r="AB28" s="132">
        <v>-117</v>
      </c>
      <c r="AC28" s="132">
        <v>-360</v>
      </c>
      <c r="AD28" s="132">
        <v>-134</v>
      </c>
      <c r="AE28" s="132">
        <v>-124</v>
      </c>
      <c r="AG28" s="132" t="s">
        <v>418</v>
      </c>
      <c r="AH28" s="132" t="s">
        <v>620</v>
      </c>
      <c r="AI28" s="132" t="s">
        <v>621</v>
      </c>
      <c r="AJ28" s="132" t="s">
        <v>622</v>
      </c>
      <c r="AK28" s="132" t="s">
        <v>584</v>
      </c>
      <c r="AL28" s="132" t="s">
        <v>623</v>
      </c>
      <c r="AN28" s="132" t="s">
        <v>480</v>
      </c>
      <c r="AO28" s="132">
        <v>-30</v>
      </c>
      <c r="AP28" s="132">
        <v>-75</v>
      </c>
      <c r="AQ28" s="132">
        <v>57</v>
      </c>
      <c r="AR28" s="132">
        <v>-19</v>
      </c>
      <c r="AS28" s="132">
        <v>-40</v>
      </c>
    </row>
    <row r="29" spans="2:45" ht="18">
      <c r="B29" s="75" t="s">
        <v>124</v>
      </c>
      <c r="C29" s="76">
        <f>C27-C28</f>
        <v>1321</v>
      </c>
      <c r="D29" s="76">
        <f t="shared" ref="D29:N29" si="0">D27-D28</f>
        <v>1312</v>
      </c>
      <c r="E29" s="76">
        <f t="shared" si="0"/>
        <v>2450</v>
      </c>
      <c r="F29" s="76">
        <f t="shared" si="0"/>
        <v>2581</v>
      </c>
      <c r="G29" s="76">
        <f t="shared" si="0"/>
        <v>2674</v>
      </c>
      <c r="H29" s="76">
        <f t="shared" si="0"/>
        <v>3469</v>
      </c>
      <c r="I29" s="76">
        <f t="shared" si="0"/>
        <v>3304</v>
      </c>
      <c r="J29" s="76">
        <f t="shared" si="0"/>
        <v>3732</v>
      </c>
      <c r="K29" s="76">
        <f t="shared" si="0"/>
        <v>6549</v>
      </c>
      <c r="L29" s="76">
        <f t="shared" si="0"/>
        <v>6272</v>
      </c>
      <c r="M29" s="76">
        <f t="shared" si="0"/>
        <v>5859</v>
      </c>
      <c r="N29" s="76">
        <f t="shared" si="0"/>
        <v>5519</v>
      </c>
      <c r="R29">
        <v>1946</v>
      </c>
      <c r="S29">
        <v>17.07</v>
      </c>
      <c r="T29">
        <v>17.25</v>
      </c>
      <c r="U29">
        <v>19.25</v>
      </c>
      <c r="V29">
        <v>14.12</v>
      </c>
      <c r="W29">
        <v>15.3</v>
      </c>
      <c r="X29" s="14">
        <v>-0.1187</v>
      </c>
      <c r="Z29" s="189" t="s">
        <v>278</v>
      </c>
      <c r="AA29" s="189" t="s">
        <v>560</v>
      </c>
      <c r="AB29" s="189">
        <v>461</v>
      </c>
      <c r="AC29" s="189" t="s">
        <v>561</v>
      </c>
      <c r="AD29" s="189">
        <v>254</v>
      </c>
      <c r="AE29" s="189">
        <v>-59</v>
      </c>
      <c r="AG29" s="132" t="s">
        <v>357</v>
      </c>
      <c r="AH29" s="132" t="s">
        <v>624</v>
      </c>
      <c r="AI29" s="132" t="s">
        <v>625</v>
      </c>
      <c r="AJ29" s="132" t="s">
        <v>626</v>
      </c>
      <c r="AK29" s="132" t="s">
        <v>627</v>
      </c>
      <c r="AL29" s="132" t="s">
        <v>628</v>
      </c>
      <c r="AN29" s="215" t="s">
        <v>481</v>
      </c>
      <c r="AO29" s="189">
        <v>-410</v>
      </c>
      <c r="AP29" s="189" t="s">
        <v>681</v>
      </c>
      <c r="AQ29" s="189">
        <v>-165</v>
      </c>
      <c r="AR29" s="189" t="s">
        <v>682</v>
      </c>
      <c r="AS29" s="189">
        <v>633</v>
      </c>
    </row>
    <row r="30" spans="2:45" ht="18">
      <c r="B30" s="1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R30">
        <v>1947</v>
      </c>
      <c r="S30">
        <v>15.15</v>
      </c>
      <c r="T30">
        <v>15.2</v>
      </c>
      <c r="U30">
        <v>16.2</v>
      </c>
      <c r="V30">
        <v>13.71</v>
      </c>
      <c r="W30">
        <v>15.3</v>
      </c>
      <c r="X30" s="14">
        <v>0</v>
      </c>
      <c r="Z30" s="132" t="s">
        <v>562</v>
      </c>
      <c r="AA30" s="132">
        <v>-2</v>
      </c>
      <c r="AB30" s="132">
        <v>-11</v>
      </c>
      <c r="AC30" s="132">
        <v>-42</v>
      </c>
      <c r="AD30" s="132">
        <v>-26</v>
      </c>
      <c r="AE30" s="132">
        <v>-61</v>
      </c>
      <c r="AG30" s="132" t="s">
        <v>364</v>
      </c>
      <c r="AH30" s="132">
        <v>0</v>
      </c>
      <c r="AI30" s="132">
        <v>0</v>
      </c>
      <c r="AJ30" s="132">
        <v>0</v>
      </c>
      <c r="AK30" s="132">
        <v>0</v>
      </c>
      <c r="AL30" s="132">
        <v>0</v>
      </c>
      <c r="AN30" s="215"/>
      <c r="AO30" s="187" t="s">
        <v>529</v>
      </c>
      <c r="AP30" s="187" t="s">
        <v>529</v>
      </c>
      <c r="AQ30" s="187" t="s">
        <v>529</v>
      </c>
      <c r="AR30" s="191" t="s">
        <v>683</v>
      </c>
      <c r="AS30" s="187" t="s">
        <v>529</v>
      </c>
    </row>
    <row r="31" spans="2:45" ht="18">
      <c r="B31" s="1" t="s">
        <v>157</v>
      </c>
      <c r="C31" s="72">
        <v>43</v>
      </c>
      <c r="D31" s="72">
        <v>617</v>
      </c>
      <c r="E31" s="72">
        <v>59</v>
      </c>
      <c r="F31" s="72">
        <v>72</v>
      </c>
      <c r="G31" s="72">
        <v>196</v>
      </c>
      <c r="H31" s="72">
        <v>107</v>
      </c>
      <c r="I31" s="72">
        <v>258</v>
      </c>
      <c r="J31" s="72">
        <v>1405</v>
      </c>
      <c r="K31" s="72">
        <v>210</v>
      </c>
      <c r="L31" s="72">
        <v>140</v>
      </c>
      <c r="M31" s="72">
        <v>183</v>
      </c>
      <c r="N31" s="72">
        <v>426</v>
      </c>
      <c r="R31">
        <v>1948</v>
      </c>
      <c r="S31">
        <v>15.51</v>
      </c>
      <c r="T31">
        <v>15.34</v>
      </c>
      <c r="U31">
        <v>17.059999999999999</v>
      </c>
      <c r="V31">
        <v>13.84</v>
      </c>
      <c r="W31">
        <v>15.2</v>
      </c>
      <c r="X31" s="14">
        <v>-6.4999999999999997E-3</v>
      </c>
      <c r="Z31" s="215" t="s">
        <v>279</v>
      </c>
      <c r="AA31" s="189" t="s">
        <v>563</v>
      </c>
      <c r="AB31" s="189">
        <v>432</v>
      </c>
      <c r="AC31" s="189" t="s">
        <v>564</v>
      </c>
      <c r="AD31" s="189">
        <v>612</v>
      </c>
      <c r="AE31" s="189">
        <v>-75</v>
      </c>
      <c r="AG31" s="132" t="s">
        <v>365</v>
      </c>
      <c r="AH31" s="132">
        <v>776</v>
      </c>
      <c r="AI31" s="132" t="s">
        <v>629</v>
      </c>
      <c r="AJ31" s="132">
        <v>602</v>
      </c>
      <c r="AK31" s="132" t="s">
        <v>630</v>
      </c>
      <c r="AL31" s="132" t="s">
        <v>631</v>
      </c>
      <c r="AN31" s="189" t="s">
        <v>485</v>
      </c>
    </row>
    <row r="32" spans="2:45" ht="18">
      <c r="B32" s="1" t="s">
        <v>88</v>
      </c>
      <c r="C32" s="72">
        <v>429</v>
      </c>
      <c r="D32" s="72">
        <v>355</v>
      </c>
      <c r="E32" s="72">
        <v>296</v>
      </c>
      <c r="F32" s="72">
        <v>1424</v>
      </c>
      <c r="G32" s="72">
        <v>1588</v>
      </c>
      <c r="H32" s="72">
        <v>2712</v>
      </c>
      <c r="I32" s="72">
        <v>2652</v>
      </c>
      <c r="J32" s="72">
        <v>2141</v>
      </c>
      <c r="K32" s="72">
        <v>2569</v>
      </c>
      <c r="L32" s="72">
        <v>2019</v>
      </c>
      <c r="M32" s="72">
        <v>4737</v>
      </c>
      <c r="N32" s="72">
        <v>3248</v>
      </c>
      <c r="R32">
        <v>1949</v>
      </c>
      <c r="S32">
        <v>15.24</v>
      </c>
      <c r="T32">
        <v>14.95</v>
      </c>
      <c r="U32">
        <v>16.79</v>
      </c>
      <c r="V32">
        <v>13.55</v>
      </c>
      <c r="W32">
        <v>16.760000000000002</v>
      </c>
      <c r="X32" s="14">
        <v>0.1026</v>
      </c>
      <c r="Z32" s="215"/>
      <c r="AA32" s="119">
        <v>0.16</v>
      </c>
      <c r="AB32" s="120">
        <v>-0.78</v>
      </c>
      <c r="AC32" s="119">
        <v>3.9</v>
      </c>
      <c r="AD32" s="120">
        <v>-0.71</v>
      </c>
      <c r="AE32" s="187" t="s">
        <v>529</v>
      </c>
      <c r="AG32" s="132" t="s">
        <v>366</v>
      </c>
      <c r="AH32" s="132" t="s">
        <v>632</v>
      </c>
      <c r="AI32" s="132" t="s">
        <v>633</v>
      </c>
      <c r="AJ32" s="132" t="s">
        <v>385</v>
      </c>
      <c r="AK32" s="132" t="s">
        <v>634</v>
      </c>
      <c r="AL32" s="132" t="s">
        <v>635</v>
      </c>
      <c r="AN32" s="215" t="s">
        <v>486</v>
      </c>
      <c r="AO32" s="189" t="s">
        <v>684</v>
      </c>
      <c r="AP32" s="189" t="s">
        <v>685</v>
      </c>
      <c r="AQ32" s="189" t="s">
        <v>578</v>
      </c>
      <c r="AR32" s="189" t="s">
        <v>686</v>
      </c>
      <c r="AS32" s="215" t="s">
        <v>687</v>
      </c>
    </row>
    <row r="33" spans="2:45" ht="18">
      <c r="B33" s="1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R33">
        <v>1950</v>
      </c>
      <c r="S33">
        <v>18.39</v>
      </c>
      <c r="T33">
        <v>16.66</v>
      </c>
      <c r="U33">
        <v>20.43</v>
      </c>
      <c r="V33">
        <v>16.649999999999999</v>
      </c>
      <c r="W33">
        <v>20.41</v>
      </c>
      <c r="X33" s="14">
        <v>0.21779999999999999</v>
      </c>
      <c r="Z33" s="216" t="s">
        <v>280</v>
      </c>
      <c r="AA33" s="132">
        <v>9.9700000000000006</v>
      </c>
      <c r="AB33" s="132">
        <v>2.21</v>
      </c>
      <c r="AC33" s="132">
        <v>10.9</v>
      </c>
      <c r="AD33" s="132">
        <v>3.34</v>
      </c>
      <c r="AE33" s="216">
        <v>-0.42</v>
      </c>
      <c r="AG33" s="189" t="s">
        <v>169</v>
      </c>
      <c r="AH33" s="189" t="s">
        <v>636</v>
      </c>
      <c r="AI33" s="189" t="s">
        <v>637</v>
      </c>
      <c r="AJ33" s="189" t="s">
        <v>638</v>
      </c>
      <c r="AK33" s="189" t="s">
        <v>639</v>
      </c>
      <c r="AL33" s="189" t="s">
        <v>640</v>
      </c>
      <c r="AN33" s="215"/>
      <c r="AO33" s="119">
        <v>7.0000000000000007E-2</v>
      </c>
      <c r="AP33" s="120">
        <v>-0.51</v>
      </c>
      <c r="AQ33" s="119">
        <v>1.42</v>
      </c>
      <c r="AR33" s="187" t="s">
        <v>529</v>
      </c>
      <c r="AS33" s="215"/>
    </row>
    <row r="34" spans="2:45" ht="18">
      <c r="B34" s="1" t="s">
        <v>158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R34">
        <v>1951</v>
      </c>
      <c r="S34">
        <v>22.32</v>
      </c>
      <c r="T34">
        <v>20.77</v>
      </c>
      <c r="U34">
        <v>23.85</v>
      </c>
      <c r="V34">
        <v>20.69</v>
      </c>
      <c r="W34">
        <v>23.77</v>
      </c>
      <c r="X34" s="14">
        <v>0.1646</v>
      </c>
      <c r="Z34" s="216"/>
      <c r="AA34" s="119">
        <v>0.18</v>
      </c>
      <c r="AB34" s="120">
        <v>-0.78</v>
      </c>
      <c r="AC34" s="119">
        <v>3.93</v>
      </c>
      <c r="AD34" s="120">
        <v>-0.69</v>
      </c>
      <c r="AE34" s="216"/>
      <c r="AG34" s="132" t="s">
        <v>373</v>
      </c>
      <c r="AH34" s="132" t="s">
        <v>566</v>
      </c>
      <c r="AI34" s="132" t="s">
        <v>641</v>
      </c>
      <c r="AJ34" s="132" t="s">
        <v>642</v>
      </c>
      <c r="AK34" s="132" t="s">
        <v>643</v>
      </c>
      <c r="AL34" s="208">
        <v>4469</v>
      </c>
    </row>
    <row r="35" spans="2:45" ht="18">
      <c r="B35" t="s">
        <v>159</v>
      </c>
      <c r="C35" s="72">
        <v>1305</v>
      </c>
      <c r="D35" s="72">
        <v>1599</v>
      </c>
      <c r="E35" s="72">
        <v>1830</v>
      </c>
      <c r="F35" s="72">
        <v>2070</v>
      </c>
      <c r="G35" s="72">
        <v>2259</v>
      </c>
      <c r="H35" s="72">
        <v>1998</v>
      </c>
      <c r="I35" s="72">
        <v>2627</v>
      </c>
      <c r="J35" s="72">
        <v>2658</v>
      </c>
      <c r="K35" s="72">
        <v>3150</v>
      </c>
      <c r="L35" s="72">
        <v>3390</v>
      </c>
      <c r="M35" s="72">
        <v>3799</v>
      </c>
      <c r="N35" s="72">
        <v>6153</v>
      </c>
      <c r="R35">
        <v>1952</v>
      </c>
      <c r="S35">
        <v>24.45</v>
      </c>
      <c r="T35">
        <v>23.8</v>
      </c>
      <c r="U35">
        <v>26.59</v>
      </c>
      <c r="V35">
        <v>23.09</v>
      </c>
      <c r="W35">
        <v>26.57</v>
      </c>
      <c r="X35" s="14">
        <v>0.1178</v>
      </c>
      <c r="AG35" s="132" t="s">
        <v>378</v>
      </c>
      <c r="AH35" s="132">
        <v>280</v>
      </c>
      <c r="AI35" s="132">
        <v>241</v>
      </c>
      <c r="AJ35" s="132">
        <v>122</v>
      </c>
      <c r="AK35" s="132">
        <v>135</v>
      </c>
      <c r="AL35" s="132">
        <v>147</v>
      </c>
    </row>
    <row r="36" spans="2:45" ht="18">
      <c r="B36" t="s">
        <v>160</v>
      </c>
      <c r="C36" s="72">
        <v>573</v>
      </c>
      <c r="D36" s="72">
        <v>781</v>
      </c>
      <c r="E36" s="72">
        <v>981</v>
      </c>
      <c r="F36" s="72">
        <v>1110</v>
      </c>
      <c r="G36" s="72">
        <v>1182</v>
      </c>
      <c r="H36" s="72">
        <v>1187</v>
      </c>
      <c r="I36" s="72">
        <v>1447</v>
      </c>
      <c r="J36" s="72">
        <v>1731</v>
      </c>
      <c r="K36" s="72">
        <v>1907</v>
      </c>
      <c r="L36" s="72">
        <v>1795</v>
      </c>
      <c r="M36" s="72">
        <v>2602</v>
      </c>
      <c r="N36" s="72">
        <v>3871</v>
      </c>
      <c r="R36">
        <v>1953</v>
      </c>
      <c r="S36">
        <v>24.72</v>
      </c>
      <c r="T36">
        <v>26.54</v>
      </c>
      <c r="U36">
        <v>26.66</v>
      </c>
      <c r="V36">
        <v>22.71</v>
      </c>
      <c r="W36">
        <v>24.81</v>
      </c>
      <c r="X36" s="14">
        <v>-6.6199999999999995E-2</v>
      </c>
      <c r="AG36" s="132" t="s">
        <v>644</v>
      </c>
      <c r="AH36" s="132">
        <v>261</v>
      </c>
      <c r="AI36" s="132">
        <v>237</v>
      </c>
      <c r="AJ36" s="132">
        <v>318</v>
      </c>
      <c r="AK36" s="132">
        <v>360</v>
      </c>
      <c r="AL36" s="132">
        <v>345</v>
      </c>
    </row>
    <row r="37" spans="2:45" ht="18">
      <c r="B37" t="s">
        <v>161</v>
      </c>
      <c r="C37" s="72">
        <v>626</v>
      </c>
      <c r="D37" s="72">
        <v>624</v>
      </c>
      <c r="E37" s="72">
        <v>737</v>
      </c>
      <c r="F37" s="72">
        <v>229</v>
      </c>
      <c r="G37" s="72">
        <v>204</v>
      </c>
      <c r="H37" s="72">
        <v>424</v>
      </c>
      <c r="I37" s="72">
        <v>801</v>
      </c>
      <c r="J37" s="72">
        <v>405</v>
      </c>
      <c r="K37" s="72">
        <v>445</v>
      </c>
      <c r="L37" s="72">
        <v>783</v>
      </c>
      <c r="M37" s="72">
        <v>611</v>
      </c>
      <c r="N37" s="72">
        <v>864</v>
      </c>
      <c r="R37">
        <v>1954</v>
      </c>
      <c r="S37">
        <v>29.72</v>
      </c>
      <c r="T37">
        <v>24.95</v>
      </c>
      <c r="U37">
        <v>35.979999999999997</v>
      </c>
      <c r="V37">
        <v>24.8</v>
      </c>
      <c r="W37">
        <v>35.979999999999997</v>
      </c>
      <c r="X37" s="14">
        <v>0.45019999999999999</v>
      </c>
      <c r="AG37" s="132" t="s">
        <v>85</v>
      </c>
      <c r="AH37" s="132">
        <v>594</v>
      </c>
      <c r="AI37" s="132">
        <v>653</v>
      </c>
      <c r="AJ37" s="132">
        <v>484</v>
      </c>
      <c r="AK37" s="132">
        <v>264</v>
      </c>
      <c r="AL37" s="132">
        <v>436</v>
      </c>
    </row>
    <row r="38" spans="2:45" ht="18">
      <c r="B38" t="s">
        <v>162</v>
      </c>
      <c r="C38" s="72">
        <v>229</v>
      </c>
      <c r="D38" s="72">
        <v>249</v>
      </c>
      <c r="E38" s="72">
        <v>353</v>
      </c>
      <c r="F38" s="72">
        <v>496</v>
      </c>
      <c r="G38" s="72">
        <v>574</v>
      </c>
      <c r="H38" s="72">
        <v>606</v>
      </c>
      <c r="I38" s="72">
        <v>807</v>
      </c>
      <c r="J38" s="72">
        <v>1141</v>
      </c>
      <c r="K38" s="72">
        <v>1058</v>
      </c>
      <c r="L38" s="72">
        <v>1177</v>
      </c>
      <c r="M38" s="72">
        <v>1846</v>
      </c>
      <c r="N38" s="72">
        <v>2216</v>
      </c>
      <c r="R38">
        <v>1955</v>
      </c>
      <c r="S38">
        <v>40.5</v>
      </c>
      <c r="T38">
        <v>36.75</v>
      </c>
      <c r="U38">
        <v>46.41</v>
      </c>
      <c r="V38">
        <v>34.58</v>
      </c>
      <c r="W38">
        <v>45.48</v>
      </c>
      <c r="X38" s="14">
        <v>0.26400000000000001</v>
      </c>
      <c r="AG38" s="215" t="s">
        <v>86</v>
      </c>
      <c r="AH38" s="189" t="s">
        <v>645</v>
      </c>
      <c r="AI38" s="189" t="s">
        <v>646</v>
      </c>
      <c r="AJ38" s="189" t="s">
        <v>647</v>
      </c>
      <c r="AK38" s="189" t="s">
        <v>648</v>
      </c>
      <c r="AL38" s="189" t="s">
        <v>649</v>
      </c>
    </row>
    <row r="39" spans="2:45" ht="18">
      <c r="B39" t="s">
        <v>163</v>
      </c>
      <c r="C39" s="77">
        <v>94</v>
      </c>
      <c r="D39" s="77">
        <v>186</v>
      </c>
      <c r="E39" s="77">
        <v>87</v>
      </c>
      <c r="F39" s="77">
        <v>113</v>
      </c>
      <c r="G39" s="77">
        <v>252</v>
      </c>
      <c r="H39" s="77">
        <v>109</v>
      </c>
      <c r="I39" s="77">
        <v>510</v>
      </c>
      <c r="J39" s="77">
        <v>551</v>
      </c>
      <c r="K39" s="77">
        <v>414</v>
      </c>
      <c r="L39" s="77">
        <v>561</v>
      </c>
      <c r="M39" s="77">
        <v>720</v>
      </c>
      <c r="N39" s="77">
        <v>661</v>
      </c>
      <c r="R39">
        <v>1956</v>
      </c>
      <c r="S39">
        <v>46.64</v>
      </c>
      <c r="T39">
        <v>45.16</v>
      </c>
      <c r="U39">
        <v>49.64</v>
      </c>
      <c r="V39">
        <v>43.11</v>
      </c>
      <c r="W39">
        <v>46.67</v>
      </c>
      <c r="X39" s="14">
        <v>2.6200000000000001E-2</v>
      </c>
      <c r="AG39" s="215"/>
      <c r="AH39" s="119">
        <v>0.5</v>
      </c>
      <c r="AI39" s="119">
        <v>0.05</v>
      </c>
      <c r="AJ39" s="119">
        <v>0</v>
      </c>
      <c r="AK39" s="119">
        <v>0.05</v>
      </c>
      <c r="AL39" s="120">
        <v>-0.12</v>
      </c>
    </row>
    <row r="40" spans="2:45" ht="18">
      <c r="B40" s="70" t="s">
        <v>94</v>
      </c>
      <c r="C40" s="78">
        <v>4611</v>
      </c>
      <c r="D40" s="78">
        <v>5712</v>
      </c>
      <c r="E40" s="78">
        <v>6784</v>
      </c>
      <c r="F40" s="78">
        <v>8075</v>
      </c>
      <c r="G40" s="78">
        <v>8914</v>
      </c>
      <c r="H40" s="78">
        <v>10559</v>
      </c>
      <c r="I40" s="78">
        <v>12405</v>
      </c>
      <c r="J40" s="78">
        <v>13763</v>
      </c>
      <c r="K40" s="78">
        <v>16249</v>
      </c>
      <c r="L40" s="78">
        <v>16138</v>
      </c>
      <c r="M40" s="78">
        <v>20355</v>
      </c>
      <c r="N40" s="78">
        <v>22958</v>
      </c>
      <c r="R40">
        <v>1957</v>
      </c>
      <c r="S40">
        <v>44.42</v>
      </c>
      <c r="T40">
        <v>46.2</v>
      </c>
      <c r="U40">
        <v>49.13</v>
      </c>
      <c r="V40">
        <v>38.979999999999997</v>
      </c>
      <c r="W40">
        <v>39.99</v>
      </c>
      <c r="X40" s="14">
        <v>-0.1431</v>
      </c>
      <c r="AG40" s="189" t="s">
        <v>419</v>
      </c>
    </row>
    <row r="41" spans="2:45" ht="18">
      <c r="R41">
        <v>1958</v>
      </c>
      <c r="S41">
        <v>46.2</v>
      </c>
      <c r="T41">
        <v>40.33</v>
      </c>
      <c r="U41">
        <v>55.21</v>
      </c>
      <c r="V41">
        <v>40.33</v>
      </c>
      <c r="W41">
        <v>55.21</v>
      </c>
      <c r="X41" s="14">
        <v>0.38059999999999999</v>
      </c>
      <c r="AG41" s="132" t="s">
        <v>420</v>
      </c>
      <c r="AH41" s="132">
        <v>196</v>
      </c>
      <c r="AI41" s="132">
        <v>195</v>
      </c>
      <c r="AJ41" s="132">
        <v>192</v>
      </c>
      <c r="AK41" s="132">
        <v>179</v>
      </c>
      <c r="AL41" s="132">
        <v>179</v>
      </c>
    </row>
    <row r="42" spans="2:45" ht="18">
      <c r="R42">
        <v>1959</v>
      </c>
      <c r="S42">
        <v>57.42</v>
      </c>
      <c r="T42">
        <v>55.44</v>
      </c>
      <c r="U42">
        <v>60.71</v>
      </c>
      <c r="V42">
        <v>53.58</v>
      </c>
      <c r="W42">
        <v>59.89</v>
      </c>
      <c r="X42" s="14">
        <v>8.48E-2</v>
      </c>
      <c r="AG42" s="132" t="s">
        <v>81</v>
      </c>
      <c r="AH42" s="132" t="s">
        <v>650</v>
      </c>
      <c r="AI42" s="132" t="s">
        <v>651</v>
      </c>
      <c r="AJ42" s="132" t="s">
        <v>652</v>
      </c>
      <c r="AK42" s="132" t="s">
        <v>653</v>
      </c>
      <c r="AL42" s="132" t="s">
        <v>654</v>
      </c>
    </row>
    <row r="43" spans="2:45" ht="18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8"/>
      <c r="R43">
        <v>1960</v>
      </c>
      <c r="S43">
        <v>55.85</v>
      </c>
      <c r="T43">
        <v>59.91</v>
      </c>
      <c r="U43">
        <v>60.39</v>
      </c>
      <c r="V43">
        <v>52.2</v>
      </c>
      <c r="W43">
        <v>58.11</v>
      </c>
      <c r="X43" s="14">
        <v>-2.9700000000000001E-2</v>
      </c>
      <c r="AG43" s="132" t="s">
        <v>402</v>
      </c>
      <c r="AH43" s="132">
        <v>623</v>
      </c>
      <c r="AI43" s="132" t="s">
        <v>655</v>
      </c>
      <c r="AJ43" s="132">
        <v>627</v>
      </c>
      <c r="AK43" s="132">
        <v>756</v>
      </c>
      <c r="AL43" s="132">
        <v>972</v>
      </c>
    </row>
    <row r="44" spans="2:45" ht="18">
      <c r="B44" s="89" t="s">
        <v>177</v>
      </c>
      <c r="C44" s="83">
        <v>762</v>
      </c>
      <c r="D44" s="83">
        <v>710</v>
      </c>
      <c r="E44" s="84">
        <v>1187</v>
      </c>
      <c r="F44" s="84">
        <v>1402</v>
      </c>
      <c r="G44" s="84">
        <v>1188</v>
      </c>
      <c r="H44" s="84">
        <v>2243</v>
      </c>
      <c r="I44" s="84">
        <v>1527</v>
      </c>
      <c r="J44" s="84">
        <v>2113</v>
      </c>
      <c r="K44" s="84">
        <v>2470</v>
      </c>
      <c r="L44" s="84">
        <v>3038</v>
      </c>
      <c r="M44" s="84">
        <v>3683</v>
      </c>
      <c r="N44" s="83">
        <v>986</v>
      </c>
      <c r="R44">
        <v>1961</v>
      </c>
      <c r="S44">
        <v>66.27</v>
      </c>
      <c r="T44">
        <v>57.57</v>
      </c>
      <c r="U44">
        <v>72.64</v>
      </c>
      <c r="V44">
        <v>57.57</v>
      </c>
      <c r="W44">
        <v>71.55</v>
      </c>
      <c r="X44" s="14">
        <v>0.23130000000000001</v>
      </c>
      <c r="AG44" s="215" t="s">
        <v>4</v>
      </c>
      <c r="AH44" s="189" t="s">
        <v>656</v>
      </c>
      <c r="AI44" s="189" t="s">
        <v>657</v>
      </c>
      <c r="AJ44" s="189" t="s">
        <v>658</v>
      </c>
      <c r="AK44" s="189" t="s">
        <v>659</v>
      </c>
      <c r="AL44" s="189" t="s">
        <v>660</v>
      </c>
    </row>
    <row r="45" spans="2:45" ht="18">
      <c r="B45" s="85" t="s">
        <v>178</v>
      </c>
      <c r="C45" s="84">
        <v>1331</v>
      </c>
      <c r="D45" s="84">
        <v>1539</v>
      </c>
      <c r="E45" s="84">
        <v>1784</v>
      </c>
      <c r="F45" s="84">
        <v>2051</v>
      </c>
      <c r="G45" s="84">
        <v>2271</v>
      </c>
      <c r="H45" s="84">
        <v>2848</v>
      </c>
      <c r="I45" s="84">
        <v>3056</v>
      </c>
      <c r="J45" s="84">
        <v>3274</v>
      </c>
      <c r="K45" s="84">
        <v>3861</v>
      </c>
      <c r="L45" s="84">
        <v>4380</v>
      </c>
      <c r="M45" s="84">
        <v>4970</v>
      </c>
      <c r="N45" s="84">
        <v>4957</v>
      </c>
      <c r="R45">
        <v>1962</v>
      </c>
      <c r="S45">
        <v>62.32</v>
      </c>
      <c r="T45">
        <v>70.959999999999994</v>
      </c>
      <c r="U45">
        <v>71.13</v>
      </c>
      <c r="V45">
        <v>52.32</v>
      </c>
      <c r="W45">
        <v>63.1</v>
      </c>
      <c r="X45" s="14">
        <v>-0.1181</v>
      </c>
      <c r="AG45" s="215"/>
      <c r="AH45" s="119">
        <v>7.0000000000000007E-2</v>
      </c>
      <c r="AI45" s="120">
        <v>-0.05</v>
      </c>
      <c r="AJ45" s="119">
        <v>0.17</v>
      </c>
      <c r="AK45" s="120">
        <v>-0.34</v>
      </c>
      <c r="AL45" s="120">
        <v>-0.08</v>
      </c>
    </row>
    <row r="46" spans="2:45" ht="18">
      <c r="B46" s="86" t="s">
        <v>90</v>
      </c>
      <c r="C46" s="87">
        <v>-82</v>
      </c>
      <c r="D46" s="87">
        <v>-305</v>
      </c>
      <c r="E46" s="87">
        <v>-299</v>
      </c>
      <c r="F46" s="87">
        <v>-254</v>
      </c>
      <c r="G46" s="87">
        <v>-155</v>
      </c>
      <c r="H46" s="87">
        <v>-146</v>
      </c>
      <c r="I46" s="87">
        <v>-475</v>
      </c>
      <c r="J46" s="87">
        <v>-483</v>
      </c>
      <c r="K46" s="87">
        <v>-205</v>
      </c>
      <c r="L46" s="87">
        <v>160</v>
      </c>
      <c r="M46" s="87">
        <v>-849</v>
      </c>
      <c r="N46" s="88">
        <v>-1326</v>
      </c>
      <c r="R46">
        <v>1963</v>
      </c>
      <c r="S46">
        <v>69.86</v>
      </c>
      <c r="T46">
        <v>62.69</v>
      </c>
      <c r="U46">
        <v>75.02</v>
      </c>
      <c r="V46">
        <v>62.69</v>
      </c>
      <c r="W46">
        <v>75.02</v>
      </c>
      <c r="X46" s="14">
        <v>0.18890000000000001</v>
      </c>
      <c r="AG46" s="215" t="s">
        <v>408</v>
      </c>
      <c r="AH46" s="189" t="s">
        <v>615</v>
      </c>
      <c r="AI46" s="189" t="s">
        <v>616</v>
      </c>
      <c r="AJ46" s="189" t="s">
        <v>617</v>
      </c>
      <c r="AK46" s="189" t="s">
        <v>618</v>
      </c>
      <c r="AL46" s="189" t="s">
        <v>619</v>
      </c>
    </row>
    <row r="47" spans="2:45" ht="18">
      <c r="B47" s="86" t="s">
        <v>91</v>
      </c>
      <c r="C47" s="87">
        <v>-350</v>
      </c>
      <c r="D47" s="87">
        <v>-293</v>
      </c>
      <c r="E47" s="87">
        <v>-247</v>
      </c>
      <c r="F47" s="87">
        <v>-231</v>
      </c>
      <c r="G47" s="87">
        <v>-144</v>
      </c>
      <c r="H47" s="87">
        <v>202</v>
      </c>
      <c r="I47" s="87">
        <v>-629</v>
      </c>
      <c r="J47" s="87">
        <v>-39</v>
      </c>
      <c r="K47" s="87">
        <v>-492</v>
      </c>
      <c r="L47" s="87">
        <v>-251</v>
      </c>
      <c r="M47" s="87">
        <v>-409</v>
      </c>
      <c r="N47" s="88">
        <v>-2354</v>
      </c>
      <c r="R47">
        <v>1964</v>
      </c>
      <c r="S47">
        <v>81.37</v>
      </c>
      <c r="T47">
        <v>75.430000000000007</v>
      </c>
      <c r="U47">
        <v>86.28</v>
      </c>
      <c r="V47">
        <v>75.430000000000007</v>
      </c>
      <c r="W47">
        <v>84.75</v>
      </c>
      <c r="X47" s="14">
        <v>0.12970000000000001</v>
      </c>
      <c r="AG47" s="215"/>
      <c r="AH47" s="119">
        <v>0.32</v>
      </c>
      <c r="AI47" s="119">
        <v>0.02</v>
      </c>
      <c r="AJ47" s="119">
        <v>0.05</v>
      </c>
      <c r="AK47" s="120">
        <v>-0.08</v>
      </c>
      <c r="AL47" s="120">
        <v>-0.11</v>
      </c>
    </row>
    <row r="48" spans="2:45" ht="18">
      <c r="B48" s="86" t="s">
        <v>179</v>
      </c>
      <c r="C48" s="87">
        <v>255</v>
      </c>
      <c r="D48" s="87">
        <v>188</v>
      </c>
      <c r="E48" s="87">
        <v>388</v>
      </c>
      <c r="F48" s="87">
        <v>317</v>
      </c>
      <c r="G48" s="87">
        <v>-151</v>
      </c>
      <c r="H48" s="87">
        <v>142</v>
      </c>
      <c r="I48" s="87">
        <v>501</v>
      </c>
      <c r="J48" s="87">
        <v>442</v>
      </c>
      <c r="K48" s="87">
        <v>287</v>
      </c>
      <c r="L48" s="87">
        <v>-241</v>
      </c>
      <c r="M48" s="88">
        <v>1143</v>
      </c>
      <c r="N48" s="87">
        <v>644</v>
      </c>
      <c r="R48">
        <v>1965</v>
      </c>
      <c r="S48">
        <v>88.16</v>
      </c>
      <c r="T48">
        <v>84.23</v>
      </c>
      <c r="U48">
        <v>92.63</v>
      </c>
      <c r="V48">
        <v>81.599999999999994</v>
      </c>
      <c r="W48">
        <v>92.43</v>
      </c>
      <c r="X48" s="14">
        <v>9.06E-2</v>
      </c>
      <c r="AG48" s="189" t="s">
        <v>421</v>
      </c>
    </row>
    <row r="49" spans="2:38" ht="18">
      <c r="B49" s="86" t="s">
        <v>180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-92</v>
      </c>
      <c r="N49" s="87">
        <v>242</v>
      </c>
      <c r="R49">
        <v>1966</v>
      </c>
      <c r="S49">
        <v>85.18</v>
      </c>
      <c r="T49">
        <v>92.18</v>
      </c>
      <c r="U49">
        <v>94.06</v>
      </c>
      <c r="V49">
        <v>73.2</v>
      </c>
      <c r="W49">
        <v>80.33</v>
      </c>
      <c r="X49" s="14">
        <v>-0.13089999999999999</v>
      </c>
      <c r="AG49" s="132" t="s">
        <v>422</v>
      </c>
      <c r="AH49" s="132">
        <v>196</v>
      </c>
      <c r="AI49" s="132">
        <v>195</v>
      </c>
      <c r="AJ49" s="132">
        <v>192</v>
      </c>
      <c r="AK49" s="132">
        <v>179</v>
      </c>
      <c r="AL49" s="132">
        <v>179</v>
      </c>
    </row>
    <row r="50" spans="2:38">
      <c r="B50" s="85" t="s">
        <v>181</v>
      </c>
      <c r="C50" s="83">
        <v>-176</v>
      </c>
      <c r="D50" s="83">
        <v>-410</v>
      </c>
      <c r="E50" s="83">
        <v>-159</v>
      </c>
      <c r="F50" s="83">
        <v>-168</v>
      </c>
      <c r="G50" s="83">
        <v>-450</v>
      </c>
      <c r="H50" s="83">
        <v>198</v>
      </c>
      <c r="I50" s="83">
        <v>-603</v>
      </c>
      <c r="J50" s="83">
        <v>-80</v>
      </c>
      <c r="K50" s="83">
        <v>-410</v>
      </c>
      <c r="L50" s="83">
        <v>-331</v>
      </c>
      <c r="M50" s="83">
        <v>-206</v>
      </c>
      <c r="N50" s="84">
        <v>-2795</v>
      </c>
      <c r="R50">
        <v>1967</v>
      </c>
      <c r="S50">
        <v>91.96</v>
      </c>
      <c r="T50">
        <v>80.38</v>
      </c>
      <c r="U50">
        <v>97.59</v>
      </c>
      <c r="V50">
        <v>80.38</v>
      </c>
      <c r="W50">
        <v>96.47</v>
      </c>
      <c r="X50" s="14">
        <v>0.2009</v>
      </c>
    </row>
    <row r="51" spans="2:38">
      <c r="B51" s="86" t="s">
        <v>182</v>
      </c>
      <c r="C51" s="87">
        <v>-392</v>
      </c>
      <c r="D51" s="87">
        <v>-430</v>
      </c>
      <c r="E51" s="87">
        <v>-438</v>
      </c>
      <c r="F51" s="87">
        <v>-480</v>
      </c>
      <c r="G51" s="87">
        <v>-633</v>
      </c>
      <c r="H51" s="87">
        <v>-802</v>
      </c>
      <c r="I51" s="87">
        <v>-925</v>
      </c>
      <c r="J51" s="88">
        <v>-1081</v>
      </c>
      <c r="K51" s="87">
        <v>-982</v>
      </c>
      <c r="L51" s="88">
        <v>-1011</v>
      </c>
      <c r="M51" s="88">
        <v>-1080</v>
      </c>
      <c r="N51" s="88">
        <v>-1176</v>
      </c>
      <c r="R51">
        <v>1968</v>
      </c>
      <c r="S51">
        <v>98.38</v>
      </c>
      <c r="T51">
        <v>96.11</v>
      </c>
      <c r="U51">
        <v>108.37</v>
      </c>
      <c r="V51">
        <v>87.72</v>
      </c>
      <c r="W51">
        <v>103.86</v>
      </c>
      <c r="X51" s="14">
        <v>7.6600000000000001E-2</v>
      </c>
    </row>
    <row r="52" spans="2:38">
      <c r="B52" s="86" t="s">
        <v>183</v>
      </c>
      <c r="C52" s="87">
        <v>0</v>
      </c>
      <c r="D52" s="87">
        <v>10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R52">
        <v>1969</v>
      </c>
      <c r="S52">
        <v>97.77</v>
      </c>
      <c r="T52">
        <v>103.93</v>
      </c>
      <c r="U52">
        <v>106.16</v>
      </c>
      <c r="V52">
        <v>89.2</v>
      </c>
      <c r="W52">
        <v>92.06</v>
      </c>
      <c r="X52" s="14">
        <v>-0.11360000000000001</v>
      </c>
    </row>
    <row r="53" spans="2:38">
      <c r="B53" s="82" t="s">
        <v>184</v>
      </c>
      <c r="C53" s="83">
        <v>-439</v>
      </c>
      <c r="D53" s="83">
        <v>-386</v>
      </c>
      <c r="E53" s="83">
        <v>-463</v>
      </c>
      <c r="F53" s="83">
        <v>-586</v>
      </c>
      <c r="G53" s="83">
        <v>-465</v>
      </c>
      <c r="H53" s="83">
        <v>-866</v>
      </c>
      <c r="I53" s="83">
        <v>-681</v>
      </c>
      <c r="J53" s="84">
        <v>-1556</v>
      </c>
      <c r="K53" s="83">
        <v>-918</v>
      </c>
      <c r="L53" s="83">
        <v>-518</v>
      </c>
      <c r="M53" s="83">
        <v>-541</v>
      </c>
      <c r="N53" s="83">
        <v>-317</v>
      </c>
      <c r="R53">
        <v>1970</v>
      </c>
      <c r="S53">
        <v>83.15</v>
      </c>
      <c r="T53">
        <v>93</v>
      </c>
      <c r="U53">
        <v>93.46</v>
      </c>
      <c r="V53">
        <v>69.290000000000006</v>
      </c>
      <c r="W53">
        <v>92.15</v>
      </c>
      <c r="X53" s="14">
        <v>1E-3</v>
      </c>
    </row>
    <row r="54" spans="2:38">
      <c r="B54" s="86" t="s">
        <v>185</v>
      </c>
      <c r="C54" s="87">
        <v>-156</v>
      </c>
      <c r="D54" s="87">
        <v>-546</v>
      </c>
      <c r="E54" s="87">
        <v>-644</v>
      </c>
      <c r="F54" s="87">
        <v>-251</v>
      </c>
      <c r="G54" s="87">
        <v>-454</v>
      </c>
      <c r="H54" s="87">
        <v>-817</v>
      </c>
      <c r="I54" s="87">
        <v>-684</v>
      </c>
      <c r="J54" s="88">
        <v>-1426</v>
      </c>
      <c r="K54" s="88">
        <v>-1151</v>
      </c>
      <c r="L54" s="87">
        <v>-404</v>
      </c>
      <c r="M54" s="87">
        <v>-282</v>
      </c>
      <c r="N54" s="87">
        <v>-538</v>
      </c>
      <c r="R54">
        <v>1971</v>
      </c>
      <c r="S54">
        <v>98.32</v>
      </c>
      <c r="T54">
        <v>91.15</v>
      </c>
      <c r="U54">
        <v>104.77</v>
      </c>
      <c r="V54">
        <v>90.16</v>
      </c>
      <c r="W54">
        <v>102.09</v>
      </c>
      <c r="X54" s="14">
        <v>0.1079</v>
      </c>
    </row>
    <row r="55" spans="2:38">
      <c r="B55" s="86" t="s">
        <v>186</v>
      </c>
      <c r="C55" s="87">
        <v>6</v>
      </c>
      <c r="D55" s="87">
        <v>6</v>
      </c>
      <c r="E55" s="87">
        <v>7</v>
      </c>
      <c r="F55" s="87">
        <v>16</v>
      </c>
      <c r="G55" s="87">
        <v>16</v>
      </c>
      <c r="H55" s="87">
        <v>15</v>
      </c>
      <c r="I55" s="87">
        <v>17</v>
      </c>
      <c r="J55" s="87">
        <v>17</v>
      </c>
      <c r="K55" s="87">
        <v>17</v>
      </c>
      <c r="L55" s="87">
        <v>37</v>
      </c>
      <c r="M55" s="87">
        <v>28</v>
      </c>
      <c r="N55" s="87">
        <v>40</v>
      </c>
      <c r="R55">
        <v>1972</v>
      </c>
      <c r="S55">
        <v>109.13</v>
      </c>
      <c r="T55">
        <v>101.67</v>
      </c>
      <c r="U55">
        <v>119.12</v>
      </c>
      <c r="V55">
        <v>101.67</v>
      </c>
      <c r="W55">
        <v>118.05</v>
      </c>
      <c r="X55" s="14">
        <v>0.15629999999999999</v>
      </c>
    </row>
    <row r="56" spans="2:38">
      <c r="B56" s="86" t="s">
        <v>187</v>
      </c>
      <c r="C56" s="87">
        <v>-336</v>
      </c>
      <c r="D56" s="87">
        <v>-290</v>
      </c>
      <c r="E56" s="87">
        <v>-247</v>
      </c>
      <c r="F56" s="87">
        <v>-872</v>
      </c>
      <c r="G56" s="87">
        <v>-243</v>
      </c>
      <c r="H56" s="87">
        <v>-282</v>
      </c>
      <c r="I56" s="87">
        <v>-153</v>
      </c>
      <c r="J56" s="87">
        <v>-320</v>
      </c>
      <c r="K56" s="87">
        <v>-573</v>
      </c>
      <c r="L56" s="87">
        <v>-25</v>
      </c>
      <c r="M56" s="87">
        <v>-140</v>
      </c>
      <c r="N56" s="87">
        <v>0</v>
      </c>
      <c r="R56">
        <v>1973</v>
      </c>
      <c r="S56">
        <v>107.44</v>
      </c>
      <c r="T56">
        <v>119.1</v>
      </c>
      <c r="U56">
        <v>120.24</v>
      </c>
      <c r="V56">
        <v>92.16</v>
      </c>
      <c r="W56">
        <v>97.55</v>
      </c>
      <c r="X56" s="14">
        <v>-0.17369999999999999</v>
      </c>
    </row>
    <row r="57" spans="2:38">
      <c r="B57" s="86" t="s">
        <v>188</v>
      </c>
      <c r="C57" s="87">
        <v>0</v>
      </c>
      <c r="D57" s="87">
        <v>398</v>
      </c>
      <c r="E57" s="87">
        <v>330</v>
      </c>
      <c r="F57" s="87">
        <v>463</v>
      </c>
      <c r="G57" s="87">
        <v>278</v>
      </c>
      <c r="H57" s="87">
        <v>205</v>
      </c>
      <c r="I57" s="87">
        <v>357</v>
      </c>
      <c r="J57" s="87">
        <v>362</v>
      </c>
      <c r="K57" s="87">
        <v>733</v>
      </c>
      <c r="L57" s="87">
        <v>134</v>
      </c>
      <c r="M57" s="87">
        <v>272</v>
      </c>
      <c r="N57" s="87">
        <v>207</v>
      </c>
      <c r="R57">
        <v>1974</v>
      </c>
      <c r="S57">
        <v>82.78</v>
      </c>
      <c r="T57">
        <v>97.68</v>
      </c>
      <c r="U57">
        <v>99.8</v>
      </c>
      <c r="V57">
        <v>62.28</v>
      </c>
      <c r="W57">
        <v>68.56</v>
      </c>
      <c r="X57" s="14">
        <v>-0.29720000000000002</v>
      </c>
    </row>
    <row r="58" spans="2:38">
      <c r="B58" s="86" t="s">
        <v>189</v>
      </c>
      <c r="C58" s="87">
        <v>10</v>
      </c>
      <c r="D58" s="87">
        <v>6</v>
      </c>
      <c r="E58" s="87">
        <v>11</v>
      </c>
      <c r="F58" s="87">
        <v>14</v>
      </c>
      <c r="G58" s="87">
        <v>11</v>
      </c>
      <c r="H58" s="87">
        <v>15</v>
      </c>
      <c r="I58" s="87">
        <v>32</v>
      </c>
      <c r="J58" s="87">
        <v>39</v>
      </c>
      <c r="K58" s="87">
        <v>40</v>
      </c>
      <c r="L58" s="87">
        <v>65</v>
      </c>
      <c r="M58" s="87">
        <v>73</v>
      </c>
      <c r="N58" s="87">
        <v>77</v>
      </c>
      <c r="R58">
        <v>1975</v>
      </c>
      <c r="S58">
        <v>86.18</v>
      </c>
      <c r="T58">
        <v>70.23</v>
      </c>
      <c r="U58">
        <v>95.61</v>
      </c>
      <c r="V58">
        <v>70.040000000000006</v>
      </c>
      <c r="W58">
        <v>90.19</v>
      </c>
      <c r="X58" s="14">
        <v>0.3155</v>
      </c>
    </row>
    <row r="59" spans="2:38">
      <c r="B59" s="86" t="s">
        <v>190</v>
      </c>
      <c r="C59" s="87">
        <v>35</v>
      </c>
      <c r="D59" s="87">
        <v>42</v>
      </c>
      <c r="E59" s="87">
        <v>33</v>
      </c>
      <c r="F59" s="87">
        <v>65</v>
      </c>
      <c r="G59" s="87">
        <v>71</v>
      </c>
      <c r="H59" s="87">
        <v>69</v>
      </c>
      <c r="I59" s="87">
        <v>74</v>
      </c>
      <c r="J59" s="87">
        <v>38</v>
      </c>
      <c r="K59" s="87">
        <v>40</v>
      </c>
      <c r="L59" s="87">
        <v>27</v>
      </c>
      <c r="M59" s="87">
        <v>8</v>
      </c>
      <c r="N59" s="87">
        <v>15</v>
      </c>
      <c r="R59">
        <v>1976</v>
      </c>
      <c r="S59">
        <v>102.04</v>
      </c>
      <c r="T59">
        <v>90.9</v>
      </c>
      <c r="U59">
        <v>107.83</v>
      </c>
      <c r="V59">
        <v>90.9</v>
      </c>
      <c r="W59">
        <v>107.46</v>
      </c>
      <c r="X59" s="14">
        <v>0.1915</v>
      </c>
    </row>
    <row r="60" spans="2:38">
      <c r="B60" s="86" t="s">
        <v>191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141</v>
      </c>
      <c r="K60" s="87">
        <v>0</v>
      </c>
      <c r="L60" s="87">
        <v>0</v>
      </c>
      <c r="M60" s="87">
        <v>0</v>
      </c>
      <c r="N60" s="87">
        <v>0</v>
      </c>
      <c r="R60">
        <v>1977</v>
      </c>
      <c r="S60">
        <v>98.18</v>
      </c>
      <c r="T60">
        <v>107</v>
      </c>
      <c r="U60">
        <v>107</v>
      </c>
      <c r="V60">
        <v>90.71</v>
      </c>
      <c r="W60">
        <v>95.1</v>
      </c>
      <c r="X60" s="14">
        <v>-0.115</v>
      </c>
    </row>
    <row r="61" spans="2:38">
      <c r="B61" s="86" t="s">
        <v>192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-525</v>
      </c>
      <c r="K61" s="87">
        <v>0</v>
      </c>
      <c r="L61" s="87">
        <v>0</v>
      </c>
      <c r="M61" s="87">
        <v>0</v>
      </c>
      <c r="N61" s="87">
        <v>0</v>
      </c>
      <c r="R61">
        <v>1978</v>
      </c>
      <c r="S61">
        <v>96.11</v>
      </c>
      <c r="T61">
        <v>93.82</v>
      </c>
      <c r="U61">
        <v>106.99</v>
      </c>
      <c r="V61">
        <v>86.9</v>
      </c>
      <c r="W61">
        <v>96.11</v>
      </c>
      <c r="X61" s="14">
        <v>1.06E-2</v>
      </c>
    </row>
    <row r="62" spans="2:38">
      <c r="B62" s="86" t="s">
        <v>193</v>
      </c>
      <c r="C62" s="87">
        <v>2</v>
      </c>
      <c r="D62" s="87">
        <v>-1</v>
      </c>
      <c r="E62" s="87">
        <v>46</v>
      </c>
      <c r="F62" s="87">
        <v>-21</v>
      </c>
      <c r="G62" s="87">
        <v>-144</v>
      </c>
      <c r="H62" s="87">
        <v>-70</v>
      </c>
      <c r="I62" s="87">
        <v>-324</v>
      </c>
      <c r="J62" s="87">
        <v>118</v>
      </c>
      <c r="K62" s="87">
        <v>-24</v>
      </c>
      <c r="L62" s="87">
        <v>-353</v>
      </c>
      <c r="M62" s="87">
        <v>-500</v>
      </c>
      <c r="N62" s="87">
        <v>-118</v>
      </c>
      <c r="R62">
        <v>1979</v>
      </c>
      <c r="S62">
        <v>103</v>
      </c>
      <c r="T62">
        <v>96.73</v>
      </c>
      <c r="U62">
        <v>111.27</v>
      </c>
      <c r="V62">
        <v>96.13</v>
      </c>
      <c r="W62">
        <v>107.94</v>
      </c>
      <c r="X62" s="14">
        <v>0.1231</v>
      </c>
    </row>
    <row r="63" spans="2:38">
      <c r="B63" s="82" t="s">
        <v>194</v>
      </c>
      <c r="C63" s="83">
        <v>-334</v>
      </c>
      <c r="D63" s="83">
        <v>-327</v>
      </c>
      <c r="E63" s="83">
        <v>-601</v>
      </c>
      <c r="F63" s="83">
        <v>-626</v>
      </c>
      <c r="G63" s="83">
        <v>-576</v>
      </c>
      <c r="H63" s="83">
        <v>-849</v>
      </c>
      <c r="I63" s="83">
        <v>-756</v>
      </c>
      <c r="J63" s="84">
        <v>-1379</v>
      </c>
      <c r="K63" s="84">
        <v>-1117</v>
      </c>
      <c r="L63" s="84">
        <v>-2871</v>
      </c>
      <c r="M63" s="83">
        <v>-650</v>
      </c>
      <c r="N63" s="84">
        <v>-1808</v>
      </c>
      <c r="R63">
        <v>1980</v>
      </c>
      <c r="S63">
        <v>118.71</v>
      </c>
      <c r="T63">
        <v>105.76</v>
      </c>
      <c r="U63">
        <v>140.52000000000001</v>
      </c>
      <c r="V63">
        <v>98.22</v>
      </c>
      <c r="W63">
        <v>135.76</v>
      </c>
      <c r="X63" s="14">
        <v>0.25769999999999998</v>
      </c>
    </row>
    <row r="64" spans="2:38">
      <c r="B64" s="86" t="s">
        <v>195</v>
      </c>
      <c r="C64" s="87">
        <v>12</v>
      </c>
      <c r="D64" s="87">
        <v>109</v>
      </c>
      <c r="E64" s="87">
        <v>33</v>
      </c>
      <c r="F64" s="87">
        <v>44</v>
      </c>
      <c r="G64" s="87">
        <v>239</v>
      </c>
      <c r="H64" s="87">
        <v>8</v>
      </c>
      <c r="I64" s="87">
        <v>271</v>
      </c>
      <c r="J64" s="87">
        <v>10</v>
      </c>
      <c r="K64" s="87">
        <v>243</v>
      </c>
      <c r="L64" s="87">
        <v>18</v>
      </c>
      <c r="M64" s="87">
        <v>155</v>
      </c>
      <c r="N64" s="87">
        <v>418</v>
      </c>
      <c r="R64">
        <v>1981</v>
      </c>
      <c r="S64">
        <v>128.04</v>
      </c>
      <c r="T64">
        <v>136.34</v>
      </c>
      <c r="U64">
        <v>138.12</v>
      </c>
      <c r="V64">
        <v>112.77</v>
      </c>
      <c r="W64">
        <v>122.55</v>
      </c>
      <c r="X64" s="14">
        <v>-9.7299999999999998E-2</v>
      </c>
    </row>
    <row r="65" spans="2:24">
      <c r="B65" s="86" t="s">
        <v>196</v>
      </c>
      <c r="C65" s="87">
        <v>-6</v>
      </c>
      <c r="D65" s="87">
        <v>-12</v>
      </c>
      <c r="E65" s="87">
        <v>-135</v>
      </c>
      <c r="F65" s="87">
        <v>-81</v>
      </c>
      <c r="G65" s="87">
        <v>-86</v>
      </c>
      <c r="H65" s="87">
        <v>-119</v>
      </c>
      <c r="I65" s="87">
        <v>-58</v>
      </c>
      <c r="J65" s="87">
        <v>-54</v>
      </c>
      <c r="K65" s="87">
        <v>-26</v>
      </c>
      <c r="L65" s="87">
        <v>-279</v>
      </c>
      <c r="M65" s="87">
        <v>-14</v>
      </c>
      <c r="N65" s="87">
        <v>-8</v>
      </c>
      <c r="R65">
        <v>1982</v>
      </c>
      <c r="S65">
        <v>119.71</v>
      </c>
      <c r="T65">
        <v>122.74</v>
      </c>
      <c r="U65">
        <v>143.02000000000001</v>
      </c>
      <c r="V65">
        <v>102.42</v>
      </c>
      <c r="W65">
        <v>140.63999999999999</v>
      </c>
      <c r="X65" s="14">
        <v>0.14760000000000001</v>
      </c>
    </row>
    <row r="66" spans="2:24">
      <c r="B66" s="86" t="s">
        <v>197</v>
      </c>
      <c r="C66" s="87">
        <v>-23</v>
      </c>
      <c r="D66" s="87">
        <v>-40</v>
      </c>
      <c r="E66" s="87">
        <v>-37</v>
      </c>
      <c r="F66" s="87">
        <v>-42</v>
      </c>
      <c r="G66" s="87">
        <v>-35</v>
      </c>
      <c r="H66" s="87">
        <v>-40</v>
      </c>
      <c r="I66" s="87">
        <v>-36</v>
      </c>
      <c r="J66" s="87">
        <v>-35</v>
      </c>
      <c r="K66" s="87">
        <v>-106</v>
      </c>
      <c r="L66" s="87">
        <v>-101</v>
      </c>
      <c r="M66" s="87">
        <v>-89</v>
      </c>
      <c r="N66" s="87">
        <v>-94</v>
      </c>
      <c r="R66">
        <v>1983</v>
      </c>
      <c r="S66">
        <v>160.47</v>
      </c>
      <c r="T66">
        <v>138.34</v>
      </c>
      <c r="U66">
        <v>172.65</v>
      </c>
      <c r="V66">
        <v>138.34</v>
      </c>
      <c r="W66">
        <v>164.93</v>
      </c>
      <c r="X66" s="14">
        <v>0.17269999999999999</v>
      </c>
    </row>
    <row r="67" spans="2:24">
      <c r="B67" s="86" t="s">
        <v>198</v>
      </c>
      <c r="C67" s="87">
        <v>-317</v>
      </c>
      <c r="D67" s="87">
        <v>-383</v>
      </c>
      <c r="E67" s="87">
        <v>-462</v>
      </c>
      <c r="F67" s="87">
        <v>-547</v>
      </c>
      <c r="G67" s="87">
        <v>-695</v>
      </c>
      <c r="H67" s="87">
        <v>-764</v>
      </c>
      <c r="I67" s="87">
        <v>-947</v>
      </c>
      <c r="J67" s="88">
        <v>-1218</v>
      </c>
      <c r="K67" s="88">
        <v>-1049</v>
      </c>
      <c r="L67" s="88">
        <v>-2121</v>
      </c>
      <c r="M67" s="87">
        <v>-499</v>
      </c>
      <c r="N67" s="88">
        <v>-1763</v>
      </c>
      <c r="R67">
        <v>1984</v>
      </c>
      <c r="S67">
        <v>160.46</v>
      </c>
      <c r="T67">
        <v>164.04</v>
      </c>
      <c r="U67">
        <v>170.41</v>
      </c>
      <c r="V67">
        <v>147.82</v>
      </c>
      <c r="W67">
        <v>167.24</v>
      </c>
      <c r="X67" s="14">
        <v>1.4E-2</v>
      </c>
    </row>
    <row r="68" spans="2:24">
      <c r="B68" s="86" t="s">
        <v>199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-180</v>
      </c>
      <c r="L68" s="87">
        <v>-179</v>
      </c>
      <c r="M68" s="87">
        <v>-203</v>
      </c>
      <c r="N68" s="87">
        <v>-221</v>
      </c>
      <c r="R68">
        <v>1985</v>
      </c>
      <c r="S68">
        <v>186.83</v>
      </c>
      <c r="T68">
        <v>165.37</v>
      </c>
      <c r="U68">
        <v>212.02</v>
      </c>
      <c r="V68">
        <v>163.68</v>
      </c>
      <c r="W68">
        <v>211.28</v>
      </c>
      <c r="X68" s="14">
        <v>0.26329999999999998</v>
      </c>
    </row>
    <row r="69" spans="2:24">
      <c r="B69" s="86" t="s">
        <v>200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66</v>
      </c>
      <c r="I69" s="87">
        <v>13</v>
      </c>
      <c r="J69" s="87">
        <v>-82</v>
      </c>
      <c r="K69" s="87">
        <v>0</v>
      </c>
      <c r="L69" s="87">
        <v>-209</v>
      </c>
      <c r="M69" s="87">
        <v>0</v>
      </c>
      <c r="N69" s="87">
        <v>-140</v>
      </c>
      <c r="R69">
        <v>1986</v>
      </c>
      <c r="S69">
        <v>236.39</v>
      </c>
      <c r="T69">
        <v>209.59</v>
      </c>
      <c r="U69">
        <v>254</v>
      </c>
      <c r="V69">
        <v>203.49</v>
      </c>
      <c r="W69">
        <v>242.17</v>
      </c>
      <c r="X69" s="14">
        <v>0.1462</v>
      </c>
    </row>
    <row r="70" spans="2:24">
      <c r="B70" s="82" t="s">
        <v>98</v>
      </c>
      <c r="C70" s="83">
        <v>-11</v>
      </c>
      <c r="D70" s="83">
        <v>-2</v>
      </c>
      <c r="E70" s="83">
        <v>123</v>
      </c>
      <c r="F70" s="83">
        <v>190</v>
      </c>
      <c r="G70" s="83">
        <v>147</v>
      </c>
      <c r="H70" s="83">
        <v>528</v>
      </c>
      <c r="I70" s="83">
        <v>90</v>
      </c>
      <c r="J70" s="83">
        <v>-822</v>
      </c>
      <c r="K70" s="83">
        <v>434</v>
      </c>
      <c r="L70" s="83">
        <v>-351</v>
      </c>
      <c r="M70" s="84">
        <v>2492</v>
      </c>
      <c r="N70" s="84">
        <v>-1138</v>
      </c>
      <c r="R70">
        <v>1987</v>
      </c>
      <c r="S70">
        <v>287</v>
      </c>
      <c r="T70">
        <v>246.45</v>
      </c>
      <c r="U70">
        <v>336.77</v>
      </c>
      <c r="V70">
        <v>223.92</v>
      </c>
      <c r="W70">
        <v>247.08</v>
      </c>
      <c r="X70" s="14">
        <v>2.0299999999999999E-2</v>
      </c>
    </row>
    <row r="71" spans="2:24">
      <c r="R71">
        <v>1988</v>
      </c>
      <c r="S71">
        <v>265.88</v>
      </c>
      <c r="T71">
        <v>255.94</v>
      </c>
      <c r="U71">
        <v>283.66000000000003</v>
      </c>
      <c r="V71">
        <v>242.63</v>
      </c>
      <c r="W71">
        <v>277.72000000000003</v>
      </c>
      <c r="X71" s="14">
        <v>0.124</v>
      </c>
    </row>
    <row r="72" spans="2:24">
      <c r="R72">
        <v>1989</v>
      </c>
      <c r="S72">
        <v>323.05</v>
      </c>
      <c r="T72">
        <v>275.31</v>
      </c>
      <c r="U72">
        <v>359.8</v>
      </c>
      <c r="V72">
        <v>275.31</v>
      </c>
      <c r="W72">
        <v>353.4</v>
      </c>
      <c r="X72" s="14">
        <v>0.27250000000000002</v>
      </c>
    </row>
    <row r="73" spans="2:24">
      <c r="R73">
        <v>1990</v>
      </c>
      <c r="S73">
        <v>334.63</v>
      </c>
      <c r="T73">
        <v>359.69</v>
      </c>
      <c r="U73">
        <v>368.95</v>
      </c>
      <c r="V73">
        <v>295.45999999999998</v>
      </c>
      <c r="W73">
        <v>330.22</v>
      </c>
      <c r="X73" s="14">
        <v>-6.5600000000000006E-2</v>
      </c>
    </row>
    <row r="74" spans="2:24">
      <c r="R74">
        <v>1991</v>
      </c>
      <c r="S74">
        <v>376.19</v>
      </c>
      <c r="T74">
        <v>326.45</v>
      </c>
      <c r="U74">
        <v>417.09</v>
      </c>
      <c r="V74">
        <v>311.49</v>
      </c>
      <c r="W74">
        <v>417.09</v>
      </c>
      <c r="X74" s="14">
        <v>0.2631</v>
      </c>
    </row>
    <row r="75" spans="2:24">
      <c r="R75">
        <v>1992</v>
      </c>
      <c r="S75">
        <v>415.75</v>
      </c>
      <c r="T75">
        <v>417.26</v>
      </c>
      <c r="U75">
        <v>441.28</v>
      </c>
      <c r="V75">
        <v>394.5</v>
      </c>
      <c r="W75">
        <v>435.71</v>
      </c>
      <c r="X75" s="14">
        <v>4.4600000000000001E-2</v>
      </c>
    </row>
    <row r="76" spans="2:24">
      <c r="R76">
        <v>1993</v>
      </c>
      <c r="S76">
        <v>451.61</v>
      </c>
      <c r="T76">
        <v>435.38</v>
      </c>
      <c r="U76">
        <v>470.94</v>
      </c>
      <c r="V76">
        <v>429.05</v>
      </c>
      <c r="W76">
        <v>466.45</v>
      </c>
      <c r="X76" s="14">
        <v>7.0599999999999996E-2</v>
      </c>
    </row>
    <row r="77" spans="2:24">
      <c r="R77">
        <v>1994</v>
      </c>
      <c r="S77">
        <v>460.42</v>
      </c>
      <c r="T77">
        <v>465.44</v>
      </c>
      <c r="U77">
        <v>482</v>
      </c>
      <c r="V77">
        <v>438.92</v>
      </c>
      <c r="W77">
        <v>459.27</v>
      </c>
      <c r="X77" s="14">
        <v>-1.54E-2</v>
      </c>
    </row>
    <row r="78" spans="2:24">
      <c r="R78">
        <v>1995</v>
      </c>
      <c r="S78">
        <v>541.72</v>
      </c>
      <c r="T78">
        <v>459.11</v>
      </c>
      <c r="U78">
        <v>621.69000000000005</v>
      </c>
      <c r="V78">
        <v>459.11</v>
      </c>
      <c r="W78">
        <v>615.92999999999995</v>
      </c>
      <c r="X78" s="14">
        <v>0.34110000000000001</v>
      </c>
    </row>
    <row r="79" spans="2:24">
      <c r="R79">
        <v>1996</v>
      </c>
      <c r="S79">
        <v>670.49</v>
      </c>
      <c r="T79">
        <v>620.73</v>
      </c>
      <c r="U79">
        <v>757.03</v>
      </c>
      <c r="V79">
        <v>598.48</v>
      </c>
      <c r="W79">
        <v>740.74</v>
      </c>
      <c r="X79" s="14">
        <v>0.2026</v>
      </c>
    </row>
    <row r="80" spans="2:24">
      <c r="R80">
        <v>1997</v>
      </c>
      <c r="S80">
        <v>873.43</v>
      </c>
      <c r="T80">
        <v>737.01</v>
      </c>
      <c r="U80">
        <v>983.79</v>
      </c>
      <c r="V80">
        <v>737.01</v>
      </c>
      <c r="W80">
        <v>970.43</v>
      </c>
      <c r="X80" s="14">
        <v>0.31009999999999999</v>
      </c>
    </row>
    <row r="81" spans="18:24">
      <c r="R81">
        <v>1998</v>
      </c>
      <c r="S81" s="113">
        <v>1085.5</v>
      </c>
      <c r="T81">
        <v>975.04</v>
      </c>
      <c r="U81" s="113">
        <v>1241.81</v>
      </c>
      <c r="V81">
        <v>927.69</v>
      </c>
      <c r="W81" s="113">
        <v>1229.23</v>
      </c>
      <c r="X81" s="14">
        <v>0.26669999999999999</v>
      </c>
    </row>
    <row r="82" spans="18:24">
      <c r="R82">
        <v>1999</v>
      </c>
      <c r="S82" s="113">
        <v>1327.33</v>
      </c>
      <c r="T82" s="113">
        <v>1228.0999999999999</v>
      </c>
      <c r="U82" s="113">
        <v>1469.25</v>
      </c>
      <c r="V82" s="113">
        <v>1212.19</v>
      </c>
      <c r="W82" s="113">
        <v>1469.25</v>
      </c>
      <c r="X82" s="14">
        <v>0.1953</v>
      </c>
    </row>
    <row r="83" spans="18:24">
      <c r="R83">
        <v>2000</v>
      </c>
      <c r="S83" s="113">
        <v>1427.22</v>
      </c>
      <c r="T83" s="113">
        <v>1455.22</v>
      </c>
      <c r="U83" s="113">
        <v>1527.46</v>
      </c>
      <c r="V83" s="113">
        <v>1264.74</v>
      </c>
      <c r="W83" s="113">
        <v>1320.28</v>
      </c>
      <c r="X83" s="14">
        <v>-0.1014</v>
      </c>
    </row>
    <row r="84" spans="18:24">
      <c r="R84">
        <v>2001</v>
      </c>
      <c r="S84" s="113">
        <v>1192.57</v>
      </c>
      <c r="T84" s="113">
        <v>1283.27</v>
      </c>
      <c r="U84" s="113">
        <v>1373.73</v>
      </c>
      <c r="V84">
        <v>965.8</v>
      </c>
      <c r="W84" s="113">
        <v>1148.08</v>
      </c>
      <c r="X84" s="14">
        <v>-0.13039999999999999</v>
      </c>
    </row>
    <row r="85" spans="18:24">
      <c r="R85">
        <v>2002</v>
      </c>
      <c r="S85">
        <v>993.93</v>
      </c>
      <c r="T85" s="113">
        <v>1154.67</v>
      </c>
      <c r="U85" s="113">
        <v>1172.51</v>
      </c>
      <c r="V85">
        <v>776.76</v>
      </c>
      <c r="W85">
        <v>879.82</v>
      </c>
      <c r="X85" s="14">
        <v>-0.23369999999999999</v>
      </c>
    </row>
    <row r="86" spans="18:24">
      <c r="R86">
        <v>2003</v>
      </c>
      <c r="S86">
        <v>965.23</v>
      </c>
      <c r="T86">
        <v>909.03</v>
      </c>
      <c r="U86" s="113">
        <v>1111.92</v>
      </c>
      <c r="V86">
        <v>800.73</v>
      </c>
      <c r="W86" s="113">
        <v>1111.92</v>
      </c>
      <c r="X86" s="14">
        <v>0.26379999999999998</v>
      </c>
    </row>
    <row r="87" spans="18:24">
      <c r="R87">
        <v>2004</v>
      </c>
      <c r="S87" s="113">
        <v>1130.6500000000001</v>
      </c>
      <c r="T87" s="113">
        <v>1108.48</v>
      </c>
      <c r="U87" s="113">
        <v>1213.55</v>
      </c>
      <c r="V87" s="113">
        <v>1063.23</v>
      </c>
      <c r="W87" s="113">
        <v>1211.92</v>
      </c>
      <c r="X87" s="14">
        <v>8.9899999999999994E-2</v>
      </c>
    </row>
    <row r="88" spans="18:24">
      <c r="R88">
        <v>2005</v>
      </c>
      <c r="S88" s="113">
        <v>1207.23</v>
      </c>
      <c r="T88" s="113">
        <v>1202.08</v>
      </c>
      <c r="U88" s="113">
        <v>1272.74</v>
      </c>
      <c r="V88" s="113">
        <v>1137.5</v>
      </c>
      <c r="W88" s="113">
        <v>1248.29</v>
      </c>
      <c r="X88" s="14">
        <v>0.03</v>
      </c>
    </row>
    <row r="89" spans="18:24">
      <c r="R89">
        <v>2006</v>
      </c>
      <c r="S89" s="113">
        <v>1310.46</v>
      </c>
      <c r="T89" s="113">
        <v>1268.8</v>
      </c>
      <c r="U89" s="113">
        <v>1427.09</v>
      </c>
      <c r="V89" s="113">
        <v>1223.69</v>
      </c>
      <c r="W89" s="113">
        <v>1418.3</v>
      </c>
      <c r="X89" s="14">
        <v>0.13619999999999999</v>
      </c>
    </row>
    <row r="90" spans="18:24">
      <c r="R90">
        <v>2007</v>
      </c>
      <c r="S90" s="113">
        <v>1477.18</v>
      </c>
      <c r="T90" s="113">
        <v>1416.6</v>
      </c>
      <c r="U90" s="113">
        <v>1565.15</v>
      </c>
      <c r="V90" s="113">
        <v>1374.12</v>
      </c>
      <c r="W90" s="113">
        <v>1468.36</v>
      </c>
      <c r="X90" s="14">
        <v>3.5299999999999998E-2</v>
      </c>
    </row>
    <row r="91" spans="18:24">
      <c r="R91">
        <v>2008</v>
      </c>
      <c r="S91" s="113">
        <v>1220.04</v>
      </c>
      <c r="T91" s="113">
        <v>1447.16</v>
      </c>
      <c r="U91" s="113">
        <v>1447.16</v>
      </c>
      <c r="V91">
        <v>752.44</v>
      </c>
      <c r="W91">
        <v>903.25</v>
      </c>
      <c r="X91" s="14">
        <v>-0.38490000000000002</v>
      </c>
    </row>
    <row r="92" spans="18:24">
      <c r="R92">
        <v>2009</v>
      </c>
      <c r="S92">
        <v>948.05</v>
      </c>
      <c r="T92">
        <v>931.8</v>
      </c>
      <c r="U92" s="113">
        <v>1127.78</v>
      </c>
      <c r="V92">
        <v>676.53</v>
      </c>
      <c r="W92" s="113">
        <v>1115.0999999999999</v>
      </c>
      <c r="X92" s="14">
        <v>0.23449999999999999</v>
      </c>
    </row>
    <row r="93" spans="18:24">
      <c r="R93">
        <v>2010</v>
      </c>
      <c r="S93" s="113">
        <v>1139.97</v>
      </c>
      <c r="T93" s="113">
        <v>1132.99</v>
      </c>
      <c r="U93" s="113">
        <v>1259.78</v>
      </c>
      <c r="V93" s="113">
        <v>1022.58</v>
      </c>
      <c r="W93" s="113">
        <v>1257.6400000000001</v>
      </c>
      <c r="X93" s="14">
        <v>0.1278</v>
      </c>
    </row>
    <row r="94" spans="18:24">
      <c r="R94">
        <v>2011</v>
      </c>
      <c r="S94" s="113">
        <v>1267.6400000000001</v>
      </c>
      <c r="T94" s="113">
        <v>1271.8699999999999</v>
      </c>
      <c r="U94" s="113">
        <v>1363.61</v>
      </c>
      <c r="V94" s="113">
        <v>1099.23</v>
      </c>
      <c r="W94" s="113">
        <v>1257.5999999999999</v>
      </c>
      <c r="X94" s="14">
        <v>0</v>
      </c>
    </row>
    <row r="95" spans="18:24">
      <c r="R95">
        <v>2012</v>
      </c>
      <c r="S95" s="113">
        <v>1379.61</v>
      </c>
      <c r="T95" s="113">
        <v>1277.06</v>
      </c>
      <c r="U95" s="113">
        <v>1465.77</v>
      </c>
      <c r="V95" s="113">
        <v>1277.06</v>
      </c>
      <c r="W95" s="113">
        <v>1426.19</v>
      </c>
      <c r="X95" s="14">
        <v>0.1341</v>
      </c>
    </row>
    <row r="96" spans="18:24">
      <c r="R96">
        <v>2013</v>
      </c>
      <c r="S96" s="113">
        <v>1643.8</v>
      </c>
      <c r="T96" s="113">
        <v>1462.42</v>
      </c>
      <c r="U96" s="113">
        <v>1848.36</v>
      </c>
      <c r="V96" s="113">
        <v>1457.15</v>
      </c>
      <c r="W96" s="113">
        <v>1848.36</v>
      </c>
      <c r="X96" s="14">
        <v>0.29599999999999999</v>
      </c>
    </row>
    <row r="97" spans="18:24">
      <c r="R97">
        <v>2014</v>
      </c>
      <c r="S97" s="113">
        <v>1931.38</v>
      </c>
      <c r="T97" s="113">
        <v>1831.98</v>
      </c>
      <c r="U97" s="113">
        <v>2090.5700000000002</v>
      </c>
      <c r="V97" s="113">
        <v>1741.89</v>
      </c>
      <c r="W97" s="113">
        <v>2058.9</v>
      </c>
      <c r="X97" s="14">
        <v>0.1139</v>
      </c>
    </row>
    <row r="98" spans="18:24">
      <c r="R98">
        <v>2015</v>
      </c>
      <c r="S98" s="113">
        <v>2061.0700000000002</v>
      </c>
      <c r="T98" s="113">
        <v>2058.1999999999998</v>
      </c>
      <c r="U98" s="113">
        <v>2130.8200000000002</v>
      </c>
      <c r="V98" s="113">
        <v>1867.61</v>
      </c>
      <c r="W98" s="113">
        <v>2043.94</v>
      </c>
      <c r="X98" s="14">
        <v>-7.3000000000000001E-3</v>
      </c>
    </row>
    <row r="99" spans="18:24">
      <c r="R99">
        <v>2016</v>
      </c>
      <c r="S99" s="113">
        <v>2094.65</v>
      </c>
      <c r="T99" s="113">
        <v>2012.66</v>
      </c>
      <c r="U99" s="113">
        <v>2271.7199999999998</v>
      </c>
      <c r="V99" s="113">
        <v>1829.08</v>
      </c>
      <c r="W99" s="113">
        <v>2238.83</v>
      </c>
      <c r="X99" s="14">
        <v>9.5399999999999999E-2</v>
      </c>
    </row>
    <row r="100" spans="18:24">
      <c r="R100">
        <v>2017</v>
      </c>
      <c r="S100" s="113">
        <v>2449.08</v>
      </c>
      <c r="T100" s="113">
        <v>2257.83</v>
      </c>
      <c r="U100" s="113">
        <v>2690.16</v>
      </c>
      <c r="V100" s="113">
        <v>2257.83</v>
      </c>
      <c r="W100" s="113">
        <v>2673.61</v>
      </c>
      <c r="X100" s="14">
        <v>0.19420000000000001</v>
      </c>
    </row>
    <row r="101" spans="18:24">
      <c r="R101">
        <v>2018</v>
      </c>
      <c r="S101" s="113">
        <v>2746.21</v>
      </c>
      <c r="T101" s="113">
        <v>2695.81</v>
      </c>
      <c r="U101" s="113">
        <v>2930.75</v>
      </c>
      <c r="V101" s="113">
        <v>2351.1</v>
      </c>
      <c r="W101" s="113">
        <v>2506.85</v>
      </c>
      <c r="X101" s="14">
        <v>-6.2399999999999997E-2</v>
      </c>
    </row>
    <row r="102" spans="18:24">
      <c r="R102">
        <v>2019</v>
      </c>
      <c r="S102" s="113">
        <v>2913.36</v>
      </c>
      <c r="T102" s="113">
        <v>2510.0300000000002</v>
      </c>
      <c r="U102" s="113">
        <v>3240.02</v>
      </c>
      <c r="V102" s="113">
        <v>2447.89</v>
      </c>
      <c r="W102" s="113">
        <v>3230.78</v>
      </c>
      <c r="X102" s="14">
        <v>0.2888</v>
      </c>
    </row>
    <row r="103" spans="18:24">
      <c r="R103">
        <v>2020</v>
      </c>
      <c r="S103" s="113">
        <v>3217.86</v>
      </c>
      <c r="T103" s="113">
        <v>3257.85</v>
      </c>
      <c r="U103" s="113">
        <v>3756.07</v>
      </c>
      <c r="V103" s="113">
        <v>2237.4</v>
      </c>
      <c r="W103" s="113">
        <v>3756.07</v>
      </c>
      <c r="X103" s="14">
        <v>0.16259999999999999</v>
      </c>
    </row>
    <row r="104" spans="18:24">
      <c r="R104">
        <v>2021</v>
      </c>
      <c r="S104" s="113">
        <v>4273.41</v>
      </c>
      <c r="T104" s="113">
        <v>3700.65</v>
      </c>
      <c r="U104" s="113">
        <v>4793.0600000000004</v>
      </c>
      <c r="V104" s="113">
        <v>3700.65</v>
      </c>
      <c r="W104" s="113">
        <v>4766.18</v>
      </c>
      <c r="X104" s="14">
        <v>0.26889999999999997</v>
      </c>
    </row>
    <row r="105" spans="18:24">
      <c r="R105">
        <v>2022</v>
      </c>
      <c r="S105" s="113">
        <v>4097.49</v>
      </c>
      <c r="T105" s="113">
        <v>4796.5600000000004</v>
      </c>
      <c r="U105" s="113">
        <v>4796.5600000000004</v>
      </c>
      <c r="V105" s="113">
        <v>3577.03</v>
      </c>
      <c r="W105" s="113">
        <v>3839.5</v>
      </c>
      <c r="X105" s="14">
        <v>-0.19439999999999999</v>
      </c>
    </row>
    <row r="106" spans="18:24">
      <c r="R106">
        <v>2023</v>
      </c>
      <c r="S106" s="113">
        <v>4283.7299999999996</v>
      </c>
      <c r="T106" s="113">
        <v>3824.14</v>
      </c>
      <c r="U106" s="113">
        <v>4783.3500000000004</v>
      </c>
      <c r="V106" s="113">
        <v>3808.1</v>
      </c>
      <c r="W106" s="113">
        <v>4769.83</v>
      </c>
      <c r="X106" s="14">
        <v>0.24229999999999999</v>
      </c>
    </row>
    <row r="107" spans="18:24">
      <c r="R107">
        <v>2024</v>
      </c>
      <c r="S107" s="113">
        <v>5107.09</v>
      </c>
      <c r="T107" s="113">
        <v>4742.83</v>
      </c>
      <c r="U107" s="113">
        <v>5487.03</v>
      </c>
      <c r="V107" s="113">
        <v>4688.68</v>
      </c>
      <c r="W107" s="113">
        <v>5464.62</v>
      </c>
      <c r="X107" s="14">
        <v>0.1457</v>
      </c>
    </row>
  </sheetData>
  <mergeCells count="17">
    <mergeCell ref="AE33:AE34"/>
    <mergeCell ref="AG25:AG26"/>
    <mergeCell ref="Z25:Z26"/>
    <mergeCell ref="Z31:Z32"/>
    <mergeCell ref="Z33:Z34"/>
    <mergeCell ref="Z7:Z8"/>
    <mergeCell ref="Z11:Z12"/>
    <mergeCell ref="Z19:Z20"/>
    <mergeCell ref="AN32:AN33"/>
    <mergeCell ref="AS32:AS33"/>
    <mergeCell ref="AG46:AG47"/>
    <mergeCell ref="AN13:AN14"/>
    <mergeCell ref="AN18:AN19"/>
    <mergeCell ref="AN25:AN26"/>
    <mergeCell ref="AN29:AN30"/>
    <mergeCell ref="AG38:AG39"/>
    <mergeCell ref="AG44:AG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1D04-130C-4EB5-94D1-E96A482944C5}">
  <dimension ref="B2:T268"/>
  <sheetViews>
    <sheetView showGridLines="0" topLeftCell="B1" zoomScale="135" workbookViewId="0">
      <selection activeCell="J12" sqref="J12"/>
    </sheetView>
  </sheetViews>
  <sheetFormatPr baseColWidth="10" defaultColWidth="8.83203125" defaultRowHeight="15"/>
  <cols>
    <col min="1" max="1" width="1.83203125" customWidth="1"/>
    <col min="2" max="2" width="11.1640625" customWidth="1"/>
    <col min="3" max="3" width="12.33203125" bestFit="1" customWidth="1"/>
    <col min="4" max="4" width="11.33203125" customWidth="1"/>
    <col min="6" max="6" width="13.5" bestFit="1" customWidth="1"/>
    <col min="7" max="7" width="12.1640625" bestFit="1" customWidth="1"/>
    <col min="9" max="9" width="18.1640625" customWidth="1"/>
    <col min="10" max="10" width="12" bestFit="1" customWidth="1"/>
    <col min="12" max="13" width="14.5" customWidth="1"/>
    <col min="14" max="14" width="11.83203125" customWidth="1"/>
    <col min="15" max="15" width="10.83203125" customWidth="1"/>
    <col min="16" max="16" width="11.6640625" customWidth="1"/>
    <col min="17" max="17" width="11.33203125" customWidth="1"/>
    <col min="18" max="18" width="12.83203125" customWidth="1"/>
  </cols>
  <sheetData>
    <row r="2" spans="2:13">
      <c r="B2" s="1" t="s">
        <v>289</v>
      </c>
    </row>
    <row r="4" spans="2:13">
      <c r="B4" s="212" t="s">
        <v>288</v>
      </c>
      <c r="C4" s="212"/>
      <c r="D4" s="212"/>
      <c r="F4" s="212" t="s">
        <v>291</v>
      </c>
      <c r="G4" s="212"/>
      <c r="I4" s="212" t="s">
        <v>58</v>
      </c>
      <c r="J4" s="212"/>
      <c r="M4" s="8"/>
    </row>
    <row r="5" spans="2:13">
      <c r="B5" s="1"/>
      <c r="M5" s="8"/>
    </row>
    <row r="6" spans="2:13">
      <c r="B6" s="38" t="s">
        <v>30</v>
      </c>
      <c r="C6" s="39" t="s">
        <v>31</v>
      </c>
      <c r="D6" s="39" t="s">
        <v>32</v>
      </c>
      <c r="F6" s="39" t="s">
        <v>31</v>
      </c>
      <c r="G6" s="39" t="s">
        <v>32</v>
      </c>
      <c r="I6" s="33" t="s">
        <v>59</v>
      </c>
      <c r="J6" s="8">
        <f>M6</f>
        <v>1.2101036383959769</v>
      </c>
      <c r="L6" t="s">
        <v>290</v>
      </c>
      <c r="M6" s="8">
        <f>M32</f>
        <v>1.2101036383959769</v>
      </c>
    </row>
    <row r="7" spans="2:13">
      <c r="B7" s="34">
        <v>43640</v>
      </c>
      <c r="C7" s="35">
        <v>83.949996999999996</v>
      </c>
      <c r="D7" s="109"/>
      <c r="F7" s="31">
        <v>2971.41</v>
      </c>
      <c r="I7" t="s">
        <v>60</v>
      </c>
      <c r="J7" s="12">
        <v>0.75</v>
      </c>
      <c r="M7" s="8"/>
    </row>
    <row r="8" spans="2:13">
      <c r="B8" s="34">
        <v>43647</v>
      </c>
      <c r="C8" s="35">
        <v>86.82</v>
      </c>
      <c r="D8" s="12">
        <f>(C8-C7)/C7</f>
        <v>3.4187053038250821E-2</v>
      </c>
      <c r="F8" s="31">
        <v>2979.77</v>
      </c>
      <c r="G8" s="12">
        <f>(F8-F7)/F7</f>
        <v>2.8134791227060986E-3</v>
      </c>
      <c r="J8" s="8"/>
    </row>
    <row r="9" spans="2:13">
      <c r="B9" s="34">
        <v>43654</v>
      </c>
      <c r="C9" s="35">
        <v>89.120002999999997</v>
      </c>
      <c r="D9" s="12">
        <f t="shared" ref="D9:D72" si="0">(C9-C8)/C8</f>
        <v>2.6491626353374844E-2</v>
      </c>
      <c r="F9" s="31">
        <v>3017.8</v>
      </c>
      <c r="G9" s="12">
        <f t="shared" ref="G9:G72" si="1">(F9-F8)/F8</f>
        <v>1.2762730009363206E-2</v>
      </c>
      <c r="I9" t="s">
        <v>62</v>
      </c>
      <c r="J9" s="8">
        <v>1</v>
      </c>
    </row>
    <row r="10" spans="2:13">
      <c r="B10" s="34">
        <v>43661</v>
      </c>
      <c r="C10" s="35">
        <v>86.550003000000004</v>
      </c>
      <c r="D10" s="12">
        <f t="shared" si="0"/>
        <v>-2.8837521470909212E-2</v>
      </c>
      <c r="F10" s="31">
        <v>2981.93</v>
      </c>
      <c r="G10" s="12">
        <f t="shared" si="1"/>
        <v>-1.1886142222811433E-2</v>
      </c>
      <c r="I10" t="s">
        <v>61</v>
      </c>
      <c r="J10" s="12">
        <v>0.25</v>
      </c>
    </row>
    <row r="11" spans="2:13">
      <c r="B11" s="34">
        <v>43668</v>
      </c>
      <c r="C11" s="35">
        <v>87.540001000000004</v>
      </c>
      <c r="D11" s="12">
        <f t="shared" si="0"/>
        <v>1.1438451365507172E-2</v>
      </c>
      <c r="F11" s="31">
        <v>3024.47</v>
      </c>
      <c r="G11" s="12">
        <f t="shared" si="1"/>
        <v>1.4265928442317548E-2</v>
      </c>
      <c r="L11" s="108"/>
      <c r="M11" s="108"/>
    </row>
    <row r="12" spans="2:13">
      <c r="B12" s="34">
        <v>43675</v>
      </c>
      <c r="C12" s="35">
        <v>81.139999000000003</v>
      </c>
      <c r="D12" s="12">
        <f t="shared" si="0"/>
        <v>-7.3109457698087077E-2</v>
      </c>
      <c r="F12" s="31">
        <v>2898.07</v>
      </c>
      <c r="G12" s="12">
        <f t="shared" si="1"/>
        <v>-4.1792446279843957E-2</v>
      </c>
      <c r="I12" s="40" t="s">
        <v>63</v>
      </c>
      <c r="J12" s="41">
        <f>(J6*J7)+(J9*J10)</f>
        <v>1.1575777287969826</v>
      </c>
    </row>
    <row r="13" spans="2:13">
      <c r="B13" s="34">
        <v>43682</v>
      </c>
      <c r="C13" s="35">
        <v>81.980002999999996</v>
      </c>
      <c r="D13" s="12">
        <f t="shared" si="0"/>
        <v>1.0352526625000245E-2</v>
      </c>
      <c r="F13" s="31">
        <v>2907.07</v>
      </c>
      <c r="G13" s="12">
        <f t="shared" si="1"/>
        <v>3.1055150496709879E-3</v>
      </c>
    </row>
    <row r="14" spans="2:13">
      <c r="B14" s="34">
        <v>43689</v>
      </c>
      <c r="C14" s="35">
        <v>80.279999000000004</v>
      </c>
      <c r="D14" s="12">
        <f t="shared" si="0"/>
        <v>-2.0736813098189234E-2</v>
      </c>
      <c r="F14" s="31">
        <v>2913.48</v>
      </c>
      <c r="G14" s="12">
        <f t="shared" si="1"/>
        <v>2.2049692645859419E-3</v>
      </c>
    </row>
    <row r="15" spans="2:13">
      <c r="B15" s="34">
        <v>43696</v>
      </c>
      <c r="C15" s="35">
        <v>80.440002000000007</v>
      </c>
      <c r="D15" s="12">
        <f t="shared" si="0"/>
        <v>1.9930618085832715E-3</v>
      </c>
      <c r="F15" s="31">
        <v>2866.7</v>
      </c>
      <c r="G15" s="12">
        <f t="shared" si="1"/>
        <v>-1.6056399906640925E-2</v>
      </c>
      <c r="L15" t="s">
        <v>33</v>
      </c>
    </row>
    <row r="16" spans="2:13" ht="16" thickBot="1">
      <c r="B16" s="34">
        <v>43703</v>
      </c>
      <c r="C16" s="35">
        <v>84.5</v>
      </c>
      <c r="D16" s="12">
        <f t="shared" si="0"/>
        <v>5.047237567199455E-2</v>
      </c>
      <c r="F16" s="31">
        <v>2909.01</v>
      </c>
      <c r="G16" s="12">
        <f t="shared" si="1"/>
        <v>1.4759130707782607E-2</v>
      </c>
    </row>
    <row r="17" spans="2:20">
      <c r="B17" s="34">
        <v>43710</v>
      </c>
      <c r="C17" s="35">
        <v>88.690002000000007</v>
      </c>
      <c r="D17" s="12">
        <f t="shared" si="0"/>
        <v>4.9585822485207182E-2</v>
      </c>
      <c r="F17" s="31">
        <v>2988.43</v>
      </c>
      <c r="G17" s="12">
        <f t="shared" si="1"/>
        <v>2.7301384319751258E-2</v>
      </c>
      <c r="L17" s="112" t="s">
        <v>34</v>
      </c>
      <c r="M17" s="112"/>
    </row>
    <row r="18" spans="2:20">
      <c r="B18" s="34">
        <v>43717</v>
      </c>
      <c r="C18" s="35">
        <v>87.32</v>
      </c>
      <c r="D18" s="12">
        <f t="shared" si="0"/>
        <v>-1.544708500513974E-2</v>
      </c>
      <c r="F18" s="31">
        <v>2996.41</v>
      </c>
      <c r="G18" s="12">
        <f t="shared" si="1"/>
        <v>2.6702984510261303E-3</v>
      </c>
      <c r="L18" t="s">
        <v>35</v>
      </c>
      <c r="M18">
        <v>0.68466084746403766</v>
      </c>
    </row>
    <row r="19" spans="2:20">
      <c r="B19" s="34">
        <v>43724</v>
      </c>
      <c r="C19" s="35">
        <v>86.68</v>
      </c>
      <c r="D19" s="12">
        <f t="shared" si="0"/>
        <v>-7.3293632615664961E-3</v>
      </c>
      <c r="F19" s="31">
        <v>2983.5</v>
      </c>
      <c r="G19" s="12">
        <f t="shared" si="1"/>
        <v>-4.3084891586931875E-3</v>
      </c>
      <c r="L19" t="s">
        <v>36</v>
      </c>
      <c r="M19">
        <v>0.46876047605017424</v>
      </c>
    </row>
    <row r="20" spans="2:20">
      <c r="B20" s="34">
        <v>43731</v>
      </c>
      <c r="C20" s="35">
        <v>92.309997999999993</v>
      </c>
      <c r="D20" s="12">
        <f t="shared" si="0"/>
        <v>6.4951522842639428E-2</v>
      </c>
      <c r="F20" s="31">
        <v>2967.07</v>
      </c>
      <c r="G20" s="12">
        <f t="shared" si="1"/>
        <v>-5.5069549187195697E-3</v>
      </c>
      <c r="L20" t="s">
        <v>37</v>
      </c>
      <c r="M20">
        <v>0.46669339619044725</v>
      </c>
    </row>
    <row r="21" spans="2:20">
      <c r="B21" s="34">
        <v>43738</v>
      </c>
      <c r="C21" s="35">
        <v>93.07</v>
      </c>
      <c r="D21" s="12">
        <f t="shared" si="0"/>
        <v>8.2331493496511626E-3</v>
      </c>
      <c r="F21" s="31">
        <v>2944.23</v>
      </c>
      <c r="G21" s="12">
        <f t="shared" si="1"/>
        <v>-7.6978298456053086E-3</v>
      </c>
      <c r="L21" t="s">
        <v>38</v>
      </c>
      <c r="M21">
        <v>3.3431909402320888E-2</v>
      </c>
    </row>
    <row r="22" spans="2:20" ht="16" thickBot="1">
      <c r="B22" s="34">
        <v>43745</v>
      </c>
      <c r="C22" s="35">
        <v>93.879997000000003</v>
      </c>
      <c r="D22" s="12">
        <f t="shared" si="0"/>
        <v>8.7030944450414739E-3</v>
      </c>
      <c r="F22" s="31">
        <v>2965.81</v>
      </c>
      <c r="G22" s="12">
        <f t="shared" si="1"/>
        <v>7.3295904192267336E-3</v>
      </c>
      <c r="L22" s="110" t="s">
        <v>39</v>
      </c>
      <c r="M22" s="110">
        <v>259</v>
      </c>
    </row>
    <row r="23" spans="2:20">
      <c r="B23" s="34">
        <v>43752</v>
      </c>
      <c r="C23" s="35">
        <v>96.099997999999999</v>
      </c>
      <c r="D23" s="12">
        <f t="shared" si="0"/>
        <v>2.3647220610797381E-2</v>
      </c>
      <c r="F23" s="31">
        <v>2996.48</v>
      </c>
      <c r="G23" s="12">
        <f t="shared" si="1"/>
        <v>1.0341188410586002E-2</v>
      </c>
    </row>
    <row r="24" spans="2:20" ht="16" thickBot="1">
      <c r="B24" s="34">
        <v>43759</v>
      </c>
      <c r="C24" s="35">
        <v>90.919998000000007</v>
      </c>
      <c r="D24" s="12">
        <f t="shared" si="0"/>
        <v>-5.3902186345518889E-2</v>
      </c>
      <c r="F24" s="31">
        <v>3032.12</v>
      </c>
      <c r="G24" s="12">
        <f t="shared" si="1"/>
        <v>1.1893955574540751E-2</v>
      </c>
      <c r="L24" t="s">
        <v>40</v>
      </c>
    </row>
    <row r="25" spans="2:20">
      <c r="B25" s="34">
        <v>43766</v>
      </c>
      <c r="C25" s="35">
        <v>89.18</v>
      </c>
      <c r="D25" s="12">
        <f t="shared" si="0"/>
        <v>-1.9137681899201096E-2</v>
      </c>
      <c r="F25" s="31">
        <v>3078.96</v>
      </c>
      <c r="G25" s="12">
        <f t="shared" si="1"/>
        <v>1.5447937416724981E-2</v>
      </c>
      <c r="L25" s="111"/>
      <c r="M25" s="111" t="s">
        <v>45</v>
      </c>
      <c r="N25" s="111" t="s">
        <v>46</v>
      </c>
      <c r="O25" s="111" t="s">
        <v>47</v>
      </c>
      <c r="P25" s="111" t="s">
        <v>48</v>
      </c>
      <c r="Q25" s="111" t="s">
        <v>49</v>
      </c>
    </row>
    <row r="26" spans="2:20">
      <c r="B26" s="34">
        <v>43773</v>
      </c>
      <c r="C26" s="35">
        <v>89.809997999999993</v>
      </c>
      <c r="D26" s="12">
        <f t="shared" si="0"/>
        <v>7.0643417806681569E-3</v>
      </c>
      <c r="F26" s="31">
        <v>3080.33</v>
      </c>
      <c r="G26" s="12">
        <f t="shared" si="1"/>
        <v>4.449554394990162E-4</v>
      </c>
      <c r="L26" t="s">
        <v>41</v>
      </c>
      <c r="M26">
        <v>1</v>
      </c>
      <c r="N26">
        <v>0.25346388867564235</v>
      </c>
      <c r="O26">
        <v>0.25346388867564235</v>
      </c>
      <c r="P26">
        <v>226.77424572851055</v>
      </c>
      <c r="Q26">
        <v>3.6225057936666216E-37</v>
      </c>
    </row>
    <row r="27" spans="2:20">
      <c r="B27" s="34">
        <v>43780</v>
      </c>
      <c r="C27" s="35">
        <v>93.040001000000004</v>
      </c>
      <c r="D27" s="12">
        <f t="shared" si="0"/>
        <v>3.5964848813380565E-2</v>
      </c>
      <c r="F27" s="31">
        <v>3117.91</v>
      </c>
      <c r="G27" s="12">
        <f t="shared" si="1"/>
        <v>1.2199991559345891E-2</v>
      </c>
      <c r="L27" t="s">
        <v>42</v>
      </c>
      <c r="M27">
        <v>257</v>
      </c>
      <c r="N27">
        <v>0.28724698953524291</v>
      </c>
      <c r="O27">
        <v>1.117692566284992E-3</v>
      </c>
    </row>
    <row r="28" spans="2:20" ht="16" thickBot="1">
      <c r="B28" s="34">
        <v>43787</v>
      </c>
      <c r="C28" s="35">
        <v>93.339995999999999</v>
      </c>
      <c r="D28" s="12">
        <f t="shared" si="0"/>
        <v>3.2243658294887115E-3</v>
      </c>
      <c r="F28" s="31">
        <v>3117.44</v>
      </c>
      <c r="G28" s="12">
        <f t="shared" si="1"/>
        <v>-1.5074200345738009E-4</v>
      </c>
      <c r="L28" s="110" t="s">
        <v>43</v>
      </c>
      <c r="M28" s="110">
        <v>258</v>
      </c>
      <c r="N28" s="110">
        <v>0.54071087821088526</v>
      </c>
      <c r="O28" s="110"/>
      <c r="P28" s="110"/>
      <c r="Q28" s="110"/>
    </row>
    <row r="29" spans="2:20" ht="16" thickBot="1">
      <c r="B29" s="34">
        <v>43794</v>
      </c>
      <c r="C29" s="35">
        <v>93.489998</v>
      </c>
      <c r="D29" s="12">
        <f t="shared" si="0"/>
        <v>1.6070495653331786E-3</v>
      </c>
      <c r="F29" s="31">
        <v>3143.85</v>
      </c>
      <c r="G29" s="12">
        <f t="shared" si="1"/>
        <v>8.4716947238759541E-3</v>
      </c>
    </row>
    <row r="30" spans="2:20">
      <c r="B30" s="34">
        <v>43801</v>
      </c>
      <c r="C30" s="35">
        <v>97</v>
      </c>
      <c r="D30" s="12">
        <f t="shared" si="0"/>
        <v>3.7544144561859977E-2</v>
      </c>
      <c r="F30" s="31">
        <v>3141.86</v>
      </c>
      <c r="G30" s="12">
        <f t="shared" si="1"/>
        <v>-6.3298185345986031E-4</v>
      </c>
      <c r="L30" s="111"/>
      <c r="M30" s="111" t="s">
        <v>50</v>
      </c>
      <c r="N30" s="111" t="s">
        <v>38</v>
      </c>
      <c r="O30" s="111" t="s">
        <v>51</v>
      </c>
      <c r="P30" s="111" t="s">
        <v>52</v>
      </c>
      <c r="Q30" s="111" t="s">
        <v>53</v>
      </c>
      <c r="R30" s="111" t="s">
        <v>54</v>
      </c>
      <c r="S30" s="111" t="s">
        <v>55</v>
      </c>
      <c r="T30" s="111" t="s">
        <v>56</v>
      </c>
    </row>
    <row r="31" spans="2:20">
      <c r="B31" s="34">
        <v>43808</v>
      </c>
      <c r="C31" s="35">
        <v>97.769997000000004</v>
      </c>
      <c r="D31" s="12">
        <f t="shared" si="0"/>
        <v>7.9381134020618926E-3</v>
      </c>
      <c r="F31" s="31">
        <v>3183.63</v>
      </c>
      <c r="G31" s="12">
        <f t="shared" si="1"/>
        <v>1.3294672582482981E-2</v>
      </c>
      <c r="L31" t="s">
        <v>44</v>
      </c>
      <c r="M31">
        <v>-1.7791455519753127E-3</v>
      </c>
      <c r="N31">
        <v>2.0883515071232245E-3</v>
      </c>
      <c r="O31">
        <v>-0.85193778245988216</v>
      </c>
      <c r="P31">
        <v>0.39504179293636621</v>
      </c>
      <c r="Q31">
        <v>-5.8916056451184806E-3</v>
      </c>
      <c r="R31">
        <v>2.3333145411678548E-3</v>
      </c>
      <c r="S31">
        <v>-5.8916056451184806E-3</v>
      </c>
      <c r="T31">
        <v>2.3333145411678548E-3</v>
      </c>
    </row>
    <row r="32" spans="2:20" ht="16" thickBot="1">
      <c r="B32" s="34">
        <v>43815</v>
      </c>
      <c r="C32" s="35">
        <v>99.959998999999996</v>
      </c>
      <c r="D32" s="12">
        <f t="shared" si="0"/>
        <v>2.2399530195341959E-2</v>
      </c>
      <c r="F32" s="31">
        <v>3226.05</v>
      </c>
      <c r="G32" s="12">
        <f t="shared" si="1"/>
        <v>1.332441269871187E-2</v>
      </c>
      <c r="L32" s="110" t="s">
        <v>57</v>
      </c>
      <c r="M32" s="110">
        <v>1.2101036383959769</v>
      </c>
      <c r="N32" s="110">
        <v>8.0357367556773071E-2</v>
      </c>
      <c r="O32" s="110">
        <v>15.059025391057389</v>
      </c>
      <c r="P32" s="110">
        <v>3.622505793666156E-37</v>
      </c>
      <c r="Q32" s="110">
        <v>1.0518608971045478</v>
      </c>
      <c r="R32" s="110">
        <v>1.368346379687406</v>
      </c>
      <c r="S32" s="110">
        <v>1.0518608971045478</v>
      </c>
      <c r="T32" s="110">
        <v>1.368346379687406</v>
      </c>
    </row>
    <row r="33" spans="2:7">
      <c r="B33" s="34">
        <v>43822</v>
      </c>
      <c r="C33" s="35">
        <v>101.57</v>
      </c>
      <c r="D33" s="12">
        <f t="shared" si="0"/>
        <v>1.610645274216136E-2</v>
      </c>
      <c r="F33" s="31">
        <v>3240.09</v>
      </c>
      <c r="G33" s="12">
        <f t="shared" si="1"/>
        <v>4.3520714186078835E-3</v>
      </c>
    </row>
    <row r="34" spans="2:7">
      <c r="B34" s="34">
        <v>43829</v>
      </c>
      <c r="C34" s="35">
        <v>101.91999800000001</v>
      </c>
      <c r="D34" s="12">
        <f t="shared" si="0"/>
        <v>3.445879688884647E-3</v>
      </c>
      <c r="F34" s="31">
        <v>3217.55</v>
      </c>
      <c r="G34" s="12">
        <f t="shared" si="1"/>
        <v>-6.9565968846544268E-3</v>
      </c>
    </row>
    <row r="35" spans="2:7">
      <c r="B35" s="34">
        <v>43836</v>
      </c>
      <c r="C35" s="35">
        <v>100.900002</v>
      </c>
      <c r="D35" s="12">
        <f t="shared" si="0"/>
        <v>-1.0007810243481421E-2</v>
      </c>
      <c r="F35" s="31">
        <v>3271.13</v>
      </c>
      <c r="G35" s="12">
        <f t="shared" si="1"/>
        <v>1.6652421873785933E-2</v>
      </c>
    </row>
    <row r="36" spans="2:7">
      <c r="B36" s="34">
        <v>43843</v>
      </c>
      <c r="C36" s="35">
        <v>104.529999</v>
      </c>
      <c r="D36" s="12">
        <f t="shared" si="0"/>
        <v>3.5976183627825925E-2</v>
      </c>
      <c r="F36" s="31">
        <v>3321.03</v>
      </c>
      <c r="G36" s="12">
        <f t="shared" si="1"/>
        <v>1.5254667347369286E-2</v>
      </c>
    </row>
    <row r="37" spans="2:7">
      <c r="B37" s="34">
        <v>43850</v>
      </c>
      <c r="C37" s="35">
        <v>102.029999</v>
      </c>
      <c r="D37" s="12">
        <f t="shared" si="0"/>
        <v>-2.3916579201344868E-2</v>
      </c>
      <c r="F37" s="31">
        <v>3247.16</v>
      </c>
      <c r="G37" s="12">
        <f t="shared" si="1"/>
        <v>-2.2243099279440518E-2</v>
      </c>
    </row>
    <row r="38" spans="2:7">
      <c r="B38" s="34">
        <v>43857</v>
      </c>
      <c r="C38" s="35">
        <v>96.300003000000004</v>
      </c>
      <c r="D38" s="12">
        <f t="shared" si="0"/>
        <v>-5.6159914301283094E-2</v>
      </c>
      <c r="F38" s="31">
        <v>3235.66</v>
      </c>
      <c r="G38" s="12">
        <f t="shared" si="1"/>
        <v>-3.5415563138250041E-3</v>
      </c>
    </row>
    <row r="39" spans="2:7">
      <c r="B39" s="34">
        <v>43864</v>
      </c>
      <c r="C39" s="35">
        <v>99.440002000000007</v>
      </c>
      <c r="D39" s="12">
        <f t="shared" si="0"/>
        <v>3.2606426813922354E-2</v>
      </c>
      <c r="F39" s="31">
        <v>3318.28</v>
      </c>
      <c r="G39" s="12">
        <f t="shared" si="1"/>
        <v>2.5534203222835634E-2</v>
      </c>
    </row>
    <row r="40" spans="2:7">
      <c r="B40" s="34">
        <v>43871</v>
      </c>
      <c r="C40" s="35">
        <v>103.540001</v>
      </c>
      <c r="D40" s="12">
        <f t="shared" si="0"/>
        <v>4.1230882115227595E-2</v>
      </c>
      <c r="F40" s="31">
        <v>3369.04</v>
      </c>
      <c r="G40" s="12">
        <f t="shared" si="1"/>
        <v>1.5297081620598551E-2</v>
      </c>
    </row>
    <row r="41" spans="2:7">
      <c r="B41" s="34">
        <v>43878</v>
      </c>
      <c r="C41" s="35">
        <v>100.25</v>
      </c>
      <c r="D41" s="12">
        <f t="shared" si="0"/>
        <v>-3.1775168709917277E-2</v>
      </c>
      <c r="F41" s="31">
        <v>3257.61</v>
      </c>
      <c r="G41" s="12">
        <f t="shared" si="1"/>
        <v>-3.3074703773181627E-2</v>
      </c>
    </row>
    <row r="42" spans="2:7">
      <c r="B42" s="34">
        <v>43885</v>
      </c>
      <c r="C42" s="35">
        <v>89.379997000000003</v>
      </c>
      <c r="D42" s="12">
        <f t="shared" si="0"/>
        <v>-0.108428957605985</v>
      </c>
      <c r="F42" s="31">
        <v>2974.28</v>
      </c>
      <c r="G42" s="12">
        <f t="shared" si="1"/>
        <v>-8.69748066834274E-2</v>
      </c>
    </row>
    <row r="43" spans="2:7">
      <c r="B43" s="34">
        <v>43892</v>
      </c>
      <c r="C43" s="35">
        <v>88.360000999999997</v>
      </c>
      <c r="D43" s="12">
        <f t="shared" si="0"/>
        <v>-1.1411904612169612E-2</v>
      </c>
      <c r="F43" s="31">
        <v>2863.89</v>
      </c>
      <c r="G43" s="12">
        <f t="shared" si="1"/>
        <v>-3.711486477399583E-2</v>
      </c>
    </row>
    <row r="44" spans="2:7">
      <c r="B44" s="34">
        <v>43899</v>
      </c>
      <c r="C44" s="35">
        <v>75.580001999999993</v>
      </c>
      <c r="D44" s="12">
        <f t="shared" si="0"/>
        <v>-0.14463556875695377</v>
      </c>
      <c r="F44" s="31">
        <v>2508.59</v>
      </c>
      <c r="G44" s="12">
        <f t="shared" si="1"/>
        <v>-0.12406202752200669</v>
      </c>
    </row>
    <row r="45" spans="2:7">
      <c r="B45" s="34">
        <v>43906</v>
      </c>
      <c r="C45" s="35">
        <v>67.449996999999996</v>
      </c>
      <c r="D45" s="12">
        <f t="shared" si="0"/>
        <v>-0.10756820302809728</v>
      </c>
      <c r="F45" s="31">
        <v>2290.71</v>
      </c>
      <c r="G45" s="12">
        <f t="shared" si="1"/>
        <v>-8.6853571129598739E-2</v>
      </c>
    </row>
    <row r="46" spans="2:7">
      <c r="B46" s="34">
        <v>43913</v>
      </c>
      <c r="C46" s="35">
        <v>83.230002999999996</v>
      </c>
      <c r="D46" s="12">
        <f t="shared" si="0"/>
        <v>0.23395117423059339</v>
      </c>
      <c r="F46" s="31">
        <v>2558.98</v>
      </c>
      <c r="G46" s="12">
        <f t="shared" si="1"/>
        <v>0.11711216173151555</v>
      </c>
    </row>
    <row r="47" spans="2:7">
      <c r="B47" s="34">
        <v>43920</v>
      </c>
      <c r="C47" s="35">
        <v>78.860000999999997</v>
      </c>
      <c r="D47" s="12">
        <f t="shared" si="0"/>
        <v>-5.2505128469117077E-2</v>
      </c>
      <c r="F47" s="31">
        <v>2578.2800000000002</v>
      </c>
      <c r="G47" s="12">
        <f t="shared" si="1"/>
        <v>7.5420675425365508E-3</v>
      </c>
    </row>
    <row r="48" spans="2:7">
      <c r="B48" s="34">
        <v>43927</v>
      </c>
      <c r="C48" s="35">
        <v>86.790001000000004</v>
      </c>
      <c r="D48" s="12">
        <f t="shared" si="0"/>
        <v>0.100557949523739</v>
      </c>
      <c r="F48" s="31">
        <v>2782.46</v>
      </c>
      <c r="G48" s="12">
        <f t="shared" si="1"/>
        <v>7.9192329770234354E-2</v>
      </c>
    </row>
    <row r="49" spans="2:7">
      <c r="B49" s="34">
        <v>43934</v>
      </c>
      <c r="C49" s="35">
        <v>89.910004000000001</v>
      </c>
      <c r="D49" s="12">
        <f t="shared" si="0"/>
        <v>3.5948876184481171E-2</v>
      </c>
      <c r="F49" s="31">
        <v>2845.62</v>
      </c>
      <c r="G49" s="12">
        <f t="shared" si="1"/>
        <v>2.2699337995874102E-2</v>
      </c>
    </row>
    <row r="50" spans="2:7">
      <c r="B50" s="34">
        <v>43941</v>
      </c>
      <c r="C50" s="35">
        <v>88.370002999999997</v>
      </c>
      <c r="D50" s="12">
        <f t="shared" si="0"/>
        <v>-1.7128249710677397E-2</v>
      </c>
      <c r="F50" s="31">
        <v>2854.65</v>
      </c>
      <c r="G50" s="12">
        <f t="shared" si="1"/>
        <v>3.1732979104730076E-3</v>
      </c>
    </row>
    <row r="51" spans="2:7">
      <c r="B51" s="34">
        <v>43948</v>
      </c>
      <c r="C51" s="35">
        <v>85.540001000000004</v>
      </c>
      <c r="D51" s="12">
        <f t="shared" si="0"/>
        <v>-3.2024464229111697E-2</v>
      </c>
      <c r="F51" s="31">
        <v>2815.01</v>
      </c>
      <c r="G51" s="12">
        <f t="shared" si="1"/>
        <v>-1.388611563589227E-2</v>
      </c>
    </row>
    <row r="52" spans="2:7">
      <c r="B52" s="34">
        <v>43955</v>
      </c>
      <c r="C52" s="35">
        <v>90.459998999999996</v>
      </c>
      <c r="D52" s="12">
        <f t="shared" si="0"/>
        <v>5.7516927080699852E-2</v>
      </c>
      <c r="F52" s="31">
        <v>2915.46</v>
      </c>
      <c r="G52" s="12">
        <f t="shared" si="1"/>
        <v>3.5683709826963249E-2</v>
      </c>
    </row>
    <row r="53" spans="2:7">
      <c r="B53" s="34">
        <v>43962</v>
      </c>
      <c r="C53" s="35">
        <v>86.989998</v>
      </c>
      <c r="D53" s="12">
        <f t="shared" si="0"/>
        <v>-3.83595073884535E-2</v>
      </c>
      <c r="F53" s="31">
        <v>2913.86</v>
      </c>
      <c r="G53" s="12">
        <f t="shared" si="1"/>
        <v>-5.487984743402101E-4</v>
      </c>
    </row>
    <row r="54" spans="2:7">
      <c r="B54" s="34">
        <v>43969</v>
      </c>
      <c r="C54" s="35">
        <v>93.75</v>
      </c>
      <c r="D54" s="12">
        <f t="shared" si="0"/>
        <v>7.7710106396369841E-2</v>
      </c>
      <c r="F54" s="31">
        <v>3004.08</v>
      </c>
      <c r="G54" s="12">
        <f t="shared" si="1"/>
        <v>3.0962366071122085E-2</v>
      </c>
    </row>
    <row r="55" spans="2:7">
      <c r="B55" s="34">
        <v>43976</v>
      </c>
      <c r="C55" s="35">
        <v>98.580001999999993</v>
      </c>
      <c r="D55" s="12">
        <f t="shared" si="0"/>
        <v>5.1520021333333263E-2</v>
      </c>
      <c r="F55" s="31">
        <v>3038.78</v>
      </c>
      <c r="G55" s="12">
        <f t="shared" si="1"/>
        <v>1.1550957364650833E-2</v>
      </c>
    </row>
    <row r="56" spans="2:7">
      <c r="B56" s="34">
        <v>43983</v>
      </c>
      <c r="C56" s="35">
        <v>102.709999</v>
      </c>
      <c r="D56" s="12">
        <f t="shared" si="0"/>
        <v>4.1894876407083087E-2</v>
      </c>
      <c r="F56" s="31">
        <v>3199.92</v>
      </c>
      <c r="G56" s="12">
        <f t="shared" si="1"/>
        <v>5.3027859864814127E-2</v>
      </c>
    </row>
    <row r="57" spans="2:7">
      <c r="B57" s="34">
        <v>43990</v>
      </c>
      <c r="C57" s="35">
        <v>96.43</v>
      </c>
      <c r="D57" s="12">
        <f t="shared" si="0"/>
        <v>-6.114301490743846E-2</v>
      </c>
      <c r="F57" s="31">
        <v>2993.76</v>
      </c>
      <c r="G57" s="12">
        <f t="shared" si="1"/>
        <v>-6.4426610665266587E-2</v>
      </c>
    </row>
    <row r="58" spans="2:7">
      <c r="B58" s="34">
        <v>43997</v>
      </c>
      <c r="C58" s="35">
        <v>95.779999000000004</v>
      </c>
      <c r="D58" s="12">
        <f t="shared" si="0"/>
        <v>-6.7406512496111489E-3</v>
      </c>
      <c r="F58" s="31">
        <v>3094.42</v>
      </c>
      <c r="G58" s="12">
        <f t="shared" si="1"/>
        <v>3.3623269734380797E-2</v>
      </c>
    </row>
    <row r="59" spans="2:7">
      <c r="B59" s="34">
        <v>44004</v>
      </c>
      <c r="C59" s="35">
        <v>93.669998000000007</v>
      </c>
      <c r="D59" s="12">
        <f t="shared" si="0"/>
        <v>-2.2029661954788671E-2</v>
      </c>
      <c r="F59" s="31">
        <v>3018.59</v>
      </c>
      <c r="G59" s="12">
        <f t="shared" si="1"/>
        <v>-2.4505400042657405E-2</v>
      </c>
    </row>
    <row r="60" spans="2:7">
      <c r="B60" s="34">
        <v>44011</v>
      </c>
      <c r="C60" s="35">
        <v>98.43</v>
      </c>
      <c r="D60" s="12">
        <f t="shared" si="0"/>
        <v>5.081671935126976E-2</v>
      </c>
      <c r="F60" s="31">
        <v>3155.29</v>
      </c>
      <c r="G60" s="12">
        <f t="shared" si="1"/>
        <v>4.5286044146439171E-2</v>
      </c>
    </row>
    <row r="61" spans="2:7">
      <c r="B61" s="34">
        <v>44018</v>
      </c>
      <c r="C61" s="35">
        <v>97.989998</v>
      </c>
      <c r="D61" s="12">
        <f t="shared" si="0"/>
        <v>-4.4702021741339715E-3</v>
      </c>
      <c r="F61" s="31">
        <v>3205.08</v>
      </c>
      <c r="G61" s="12">
        <f t="shared" si="1"/>
        <v>1.5779849078848527E-2</v>
      </c>
    </row>
    <row r="62" spans="2:7">
      <c r="B62" s="34">
        <v>44025</v>
      </c>
      <c r="C62" s="35">
        <v>96.279999000000004</v>
      </c>
      <c r="D62" s="12">
        <f t="shared" si="0"/>
        <v>-1.7450750432712492E-2</v>
      </c>
      <c r="F62" s="31">
        <v>3224.29</v>
      </c>
      <c r="G62" s="12">
        <f t="shared" si="1"/>
        <v>5.993610143896576E-3</v>
      </c>
    </row>
    <row r="63" spans="2:7">
      <c r="B63" s="34">
        <v>44032</v>
      </c>
      <c r="C63" s="35">
        <v>98.43</v>
      </c>
      <c r="D63" s="12">
        <f t="shared" si="0"/>
        <v>2.2330712737128333E-2</v>
      </c>
      <c r="F63" s="31">
        <v>3219.84</v>
      </c>
      <c r="G63" s="12">
        <f t="shared" si="1"/>
        <v>-1.3801488079545632E-3</v>
      </c>
    </row>
    <row r="64" spans="2:7">
      <c r="B64" s="34">
        <v>44039</v>
      </c>
      <c r="C64" s="35">
        <v>97.610000999999997</v>
      </c>
      <c r="D64" s="12">
        <f t="shared" si="0"/>
        <v>-8.3307832977751687E-3</v>
      </c>
      <c r="F64" s="31">
        <v>3288.26</v>
      </c>
      <c r="G64" s="12">
        <f t="shared" si="1"/>
        <v>2.1249503080898451E-2</v>
      </c>
    </row>
    <row r="65" spans="2:7">
      <c r="B65" s="34">
        <v>44046</v>
      </c>
      <c r="C65" s="35">
        <v>101.860001</v>
      </c>
      <c r="D65" s="12">
        <f t="shared" si="0"/>
        <v>4.354062039196168E-2</v>
      </c>
      <c r="F65" s="31">
        <v>3356.04</v>
      </c>
      <c r="G65" s="12">
        <f t="shared" si="1"/>
        <v>2.0612725271115951E-2</v>
      </c>
    </row>
    <row r="66" spans="2:7">
      <c r="B66" s="34">
        <v>44053</v>
      </c>
      <c r="C66" s="35">
        <v>106.43</v>
      </c>
      <c r="D66" s="12">
        <f t="shared" si="0"/>
        <v>4.4865491411098753E-2</v>
      </c>
      <c r="F66" s="31">
        <v>3380.86</v>
      </c>
      <c r="G66" s="12">
        <f t="shared" si="1"/>
        <v>7.3956210295467763E-3</v>
      </c>
    </row>
    <row r="67" spans="2:7">
      <c r="B67" s="34">
        <v>44060</v>
      </c>
      <c r="C67" s="35">
        <v>109.75</v>
      </c>
      <c r="D67" s="12">
        <f t="shared" si="0"/>
        <v>3.1194212158225997E-2</v>
      </c>
      <c r="F67" s="31">
        <v>3418.09</v>
      </c>
      <c r="G67" s="12">
        <f t="shared" si="1"/>
        <v>1.1011991031867636E-2</v>
      </c>
    </row>
    <row r="68" spans="2:7">
      <c r="B68" s="34">
        <v>44067</v>
      </c>
      <c r="C68" s="35">
        <v>112.290001</v>
      </c>
      <c r="D68" s="12">
        <f t="shared" si="0"/>
        <v>2.3143517084282493E-2</v>
      </c>
      <c r="F68" s="31">
        <v>3509.73</v>
      </c>
      <c r="G68" s="12">
        <f t="shared" si="1"/>
        <v>2.6810294638233596E-2</v>
      </c>
    </row>
    <row r="69" spans="2:7">
      <c r="B69" s="34">
        <v>44074</v>
      </c>
      <c r="C69" s="35">
        <v>112.400002</v>
      </c>
      <c r="D69" s="12">
        <f t="shared" si="0"/>
        <v>9.7961527313546745E-4</v>
      </c>
      <c r="F69" s="31">
        <v>3371.88</v>
      </c>
      <c r="G69" s="12">
        <f t="shared" si="1"/>
        <v>-3.9276525544699993E-2</v>
      </c>
    </row>
    <row r="70" spans="2:7">
      <c r="B70" s="34">
        <v>44081</v>
      </c>
      <c r="C70" s="35">
        <v>118</v>
      </c>
      <c r="D70" s="12">
        <f t="shared" si="0"/>
        <v>4.9822045376831929E-2</v>
      </c>
      <c r="F70" s="31">
        <v>3363.56</v>
      </c>
      <c r="G70" s="12">
        <f t="shared" si="1"/>
        <v>-2.4674662206247444E-3</v>
      </c>
    </row>
    <row r="71" spans="2:7">
      <c r="B71" s="34">
        <v>44088</v>
      </c>
      <c r="C71" s="35">
        <v>114.660004</v>
      </c>
      <c r="D71" s="12">
        <f t="shared" si="0"/>
        <v>-2.830505084745762E-2</v>
      </c>
      <c r="F71" s="31">
        <v>3285.57</v>
      </c>
      <c r="G71" s="12">
        <f t="shared" si="1"/>
        <v>-2.3186742617940452E-2</v>
      </c>
    </row>
    <row r="72" spans="2:7">
      <c r="B72" s="34">
        <v>44095</v>
      </c>
      <c r="C72" s="35">
        <v>124.230003</v>
      </c>
      <c r="D72" s="12">
        <f t="shared" si="0"/>
        <v>8.346414325957982E-2</v>
      </c>
      <c r="F72" s="31">
        <v>3333.9</v>
      </c>
      <c r="G72" s="12">
        <f t="shared" si="1"/>
        <v>1.4709776385832572E-2</v>
      </c>
    </row>
    <row r="73" spans="2:7">
      <c r="B73" s="34">
        <v>44102</v>
      </c>
      <c r="C73" s="35">
        <v>126.639999</v>
      </c>
      <c r="D73" s="12">
        <f t="shared" ref="D73:D136" si="2">(C73-C72)/C72</f>
        <v>1.9399468258887564E-2</v>
      </c>
      <c r="F73" s="31">
        <v>3367.27</v>
      </c>
      <c r="G73" s="12">
        <f t="shared" ref="G73:G136" si="3">(F73-F72)/F72</f>
        <v>1.0009298419268691E-2</v>
      </c>
    </row>
    <row r="74" spans="2:7">
      <c r="B74" s="34">
        <v>44109</v>
      </c>
      <c r="C74" s="35">
        <v>130.979996</v>
      </c>
      <c r="D74" s="12">
        <f t="shared" si="2"/>
        <v>3.4270349291458828E-2</v>
      </c>
      <c r="F74" s="31">
        <v>3500.02</v>
      </c>
      <c r="G74" s="12">
        <f t="shared" si="3"/>
        <v>3.9423628042895287E-2</v>
      </c>
    </row>
    <row r="75" spans="2:7">
      <c r="B75" s="34">
        <v>44116</v>
      </c>
      <c r="C75" s="35">
        <v>128</v>
      </c>
      <c r="D75" s="12">
        <f t="shared" si="2"/>
        <v>-2.2751535280242336E-2</v>
      </c>
      <c r="F75" s="31">
        <v>3493.66</v>
      </c>
      <c r="G75" s="12">
        <f t="shared" si="3"/>
        <v>-1.8171324735287591E-3</v>
      </c>
    </row>
    <row r="76" spans="2:7">
      <c r="B76" s="34">
        <v>44123</v>
      </c>
      <c r="C76" s="35">
        <v>129.990005</v>
      </c>
      <c r="D76" s="12">
        <f t="shared" si="2"/>
        <v>1.5546914062499972E-2</v>
      </c>
      <c r="F76" s="31">
        <v>3441.42</v>
      </c>
      <c r="G76" s="12">
        <f t="shared" si="3"/>
        <v>-1.4952800215246986E-2</v>
      </c>
    </row>
    <row r="77" spans="2:7">
      <c r="B77" s="34">
        <v>44130</v>
      </c>
      <c r="C77" s="35">
        <v>120.08000199999999</v>
      </c>
      <c r="D77" s="12">
        <f t="shared" si="2"/>
        <v>-7.6236653733492837E-2</v>
      </c>
      <c r="F77" s="31">
        <v>3296.2</v>
      </c>
      <c r="G77" s="12">
        <f t="shared" si="3"/>
        <v>-4.2197697462094209E-2</v>
      </c>
    </row>
    <row r="78" spans="2:7">
      <c r="B78" s="34">
        <v>44137</v>
      </c>
      <c r="C78" s="35">
        <v>128.89999399999999</v>
      </c>
      <c r="D78" s="12">
        <f t="shared" si="2"/>
        <v>7.3450964799284396E-2</v>
      </c>
      <c r="F78" s="31">
        <v>3583.04</v>
      </c>
      <c r="G78" s="12">
        <f t="shared" si="3"/>
        <v>8.7021418603240142E-2</v>
      </c>
    </row>
    <row r="79" spans="2:7">
      <c r="B79" s="34">
        <v>44144</v>
      </c>
      <c r="C79" s="35">
        <v>128.279999</v>
      </c>
      <c r="D79" s="12">
        <f t="shared" si="2"/>
        <v>-4.8098916125627498E-3</v>
      </c>
      <c r="F79" s="31">
        <v>3600.16</v>
      </c>
      <c r="G79" s="12">
        <f t="shared" si="3"/>
        <v>4.7780655532731675E-3</v>
      </c>
    </row>
    <row r="80" spans="2:7">
      <c r="B80" s="34">
        <v>44151</v>
      </c>
      <c r="C80" s="35">
        <v>132.979996</v>
      </c>
      <c r="D80" s="12">
        <f t="shared" si="2"/>
        <v>3.6638579955087125E-2</v>
      </c>
      <c r="F80" s="31">
        <v>3566.82</v>
      </c>
      <c r="G80" s="12">
        <f t="shared" si="3"/>
        <v>-9.2606995244654943E-3</v>
      </c>
    </row>
    <row r="81" spans="2:7">
      <c r="B81" s="34">
        <v>44158</v>
      </c>
      <c r="C81" s="35">
        <v>134.25</v>
      </c>
      <c r="D81" s="12">
        <f t="shared" si="2"/>
        <v>9.5503386840228213E-3</v>
      </c>
      <c r="F81" s="31">
        <v>3634.18</v>
      </c>
      <c r="G81" s="12">
        <f t="shared" si="3"/>
        <v>1.8885169422622861E-2</v>
      </c>
    </row>
    <row r="82" spans="2:7">
      <c r="B82" s="34">
        <v>44165</v>
      </c>
      <c r="C82" s="35">
        <v>137.19000199999999</v>
      </c>
      <c r="D82" s="12">
        <f t="shared" si="2"/>
        <v>2.189945623836121E-2</v>
      </c>
      <c r="F82" s="31">
        <v>3694.73</v>
      </c>
      <c r="G82" s="12">
        <f t="shared" si="3"/>
        <v>1.6661255083677801E-2</v>
      </c>
    </row>
    <row r="83" spans="2:7">
      <c r="B83" s="34">
        <v>44172</v>
      </c>
      <c r="C83" s="35">
        <v>137.41000399999999</v>
      </c>
      <c r="D83" s="12">
        <f t="shared" si="2"/>
        <v>1.603629978808469E-3</v>
      </c>
      <c r="F83" s="31">
        <v>3675.27</v>
      </c>
      <c r="G83" s="12">
        <f t="shared" si="3"/>
        <v>-5.2669613205836522E-3</v>
      </c>
    </row>
    <row r="84" spans="2:7">
      <c r="B84" s="34">
        <v>44179</v>
      </c>
      <c r="C84" s="35">
        <v>137.279999</v>
      </c>
      <c r="D84" s="12">
        <f t="shared" si="2"/>
        <v>-9.4611015366816262E-4</v>
      </c>
      <c r="F84" s="31">
        <v>3684.28</v>
      </c>
      <c r="G84" s="12">
        <f t="shared" si="3"/>
        <v>2.4515205685569272E-3</v>
      </c>
    </row>
    <row r="85" spans="2:7">
      <c r="B85" s="34">
        <v>44186</v>
      </c>
      <c r="C85" s="35">
        <v>141.60000600000001</v>
      </c>
      <c r="D85" s="12">
        <f t="shared" si="2"/>
        <v>3.1468582688436671E-2</v>
      </c>
      <c r="F85" s="31">
        <v>3723.03</v>
      </c>
      <c r="G85" s="12">
        <f t="shared" si="3"/>
        <v>1.0517658809862442E-2</v>
      </c>
    </row>
    <row r="86" spans="2:7">
      <c r="B86" s="34">
        <v>44193</v>
      </c>
      <c r="C86" s="35">
        <v>141.470001</v>
      </c>
      <c r="D86" s="12">
        <f t="shared" si="2"/>
        <v>-9.1811436787658926E-4</v>
      </c>
      <c r="F86" s="31">
        <v>3764.61</v>
      </c>
      <c r="G86" s="12">
        <f t="shared" si="3"/>
        <v>1.116832257596633E-2</v>
      </c>
    </row>
    <row r="87" spans="2:7">
      <c r="B87" s="34">
        <v>44200</v>
      </c>
      <c r="C87" s="35">
        <v>146.35000600000001</v>
      </c>
      <c r="D87" s="12">
        <f t="shared" si="2"/>
        <v>3.4494981024280981E-2</v>
      </c>
      <c r="F87" s="31">
        <v>3803.14</v>
      </c>
      <c r="G87" s="12">
        <f t="shared" si="3"/>
        <v>1.0234791917356578E-2</v>
      </c>
    </row>
    <row r="88" spans="2:7">
      <c r="B88" s="34">
        <v>44207</v>
      </c>
      <c r="C88" s="35">
        <v>140.720001</v>
      </c>
      <c r="D88" s="12">
        <f t="shared" si="2"/>
        <v>-3.8469455204532148E-2</v>
      </c>
      <c r="F88" s="31">
        <v>3781.88</v>
      </c>
      <c r="G88" s="12">
        <f t="shared" si="3"/>
        <v>-5.5901176396345557E-3</v>
      </c>
    </row>
    <row r="89" spans="2:7">
      <c r="B89" s="34">
        <v>44214</v>
      </c>
      <c r="C89" s="35">
        <v>139.35000600000001</v>
      </c>
      <c r="D89" s="12">
        <f t="shared" si="2"/>
        <v>-9.7356096522482876E-3</v>
      </c>
      <c r="F89" s="31">
        <v>3851.68</v>
      </c>
      <c r="G89" s="12">
        <f t="shared" si="3"/>
        <v>1.8456429077601543E-2</v>
      </c>
    </row>
    <row r="90" spans="2:7">
      <c r="B90" s="34">
        <v>44221</v>
      </c>
      <c r="C90" s="35">
        <v>133.58999600000001</v>
      </c>
      <c r="D90" s="12">
        <f t="shared" si="2"/>
        <v>-4.1334838550347773E-2</v>
      </c>
      <c r="F90" s="31">
        <v>3731.17</v>
      </c>
      <c r="G90" s="12">
        <f t="shared" si="3"/>
        <v>-3.1287645910355939E-2</v>
      </c>
    </row>
    <row r="91" spans="2:7">
      <c r="B91" s="34">
        <v>44228</v>
      </c>
      <c r="C91" s="35">
        <v>145.11000100000001</v>
      </c>
      <c r="D91" s="12">
        <f t="shared" si="2"/>
        <v>8.6234039560866491E-2</v>
      </c>
      <c r="F91" s="31">
        <v>3892.59</v>
      </c>
      <c r="G91" s="12">
        <f t="shared" si="3"/>
        <v>4.326256911370966E-2</v>
      </c>
    </row>
    <row r="92" spans="2:7">
      <c r="B92" s="34">
        <v>44235</v>
      </c>
      <c r="C92" s="35">
        <v>142.11999499999999</v>
      </c>
      <c r="D92" s="12">
        <f t="shared" si="2"/>
        <v>-2.0605099437632987E-2</v>
      </c>
      <c r="F92" s="31">
        <v>3939.61</v>
      </c>
      <c r="G92" s="12">
        <f t="shared" si="3"/>
        <v>1.2079361042390794E-2</v>
      </c>
    </row>
    <row r="93" spans="2:7">
      <c r="B93" s="34">
        <v>44242</v>
      </c>
      <c r="C93" s="35">
        <v>142.020004</v>
      </c>
      <c r="D93" s="12">
        <f t="shared" si="2"/>
        <v>-7.035674325768772E-4</v>
      </c>
      <c r="F93" s="31">
        <v>3885.55</v>
      </c>
      <c r="G93" s="12">
        <f t="shared" si="3"/>
        <v>-1.3722170468650437E-2</v>
      </c>
    </row>
    <row r="94" spans="2:7">
      <c r="B94" s="34">
        <v>44249</v>
      </c>
      <c r="C94" s="35">
        <v>134.779999</v>
      </c>
      <c r="D94" s="12">
        <f t="shared" si="2"/>
        <v>-5.0978769159871283E-2</v>
      </c>
      <c r="F94" s="31">
        <v>3842.51</v>
      </c>
      <c r="G94" s="12">
        <f t="shared" si="3"/>
        <v>-1.107693891469675E-2</v>
      </c>
    </row>
    <row r="95" spans="2:7">
      <c r="B95" s="34">
        <v>44256</v>
      </c>
      <c r="C95" s="35">
        <v>133.35000600000001</v>
      </c>
      <c r="D95" s="12">
        <f t="shared" si="2"/>
        <v>-1.0609830914155119E-2</v>
      </c>
      <c r="F95" s="31">
        <v>3844.39</v>
      </c>
      <c r="G95" s="12">
        <f t="shared" si="3"/>
        <v>4.8926352826658985E-4</v>
      </c>
    </row>
    <row r="96" spans="2:7">
      <c r="B96" s="34">
        <v>44263</v>
      </c>
      <c r="C96" s="35">
        <v>140.449997</v>
      </c>
      <c r="D96" s="12">
        <f t="shared" si="2"/>
        <v>5.3243274694715709E-2</v>
      </c>
      <c r="F96" s="31">
        <v>3942.96</v>
      </c>
      <c r="G96" s="12">
        <f t="shared" si="3"/>
        <v>2.5639958484961246E-2</v>
      </c>
    </row>
    <row r="97" spans="2:7">
      <c r="B97" s="34">
        <v>44270</v>
      </c>
      <c r="C97" s="35">
        <v>137.490005</v>
      </c>
      <c r="D97" s="12">
        <f t="shared" si="2"/>
        <v>-2.1075059189926502E-2</v>
      </c>
      <c r="F97" s="31">
        <v>3916.48</v>
      </c>
      <c r="G97" s="12">
        <f t="shared" si="3"/>
        <v>-6.7157668350680752E-3</v>
      </c>
    </row>
    <row r="98" spans="2:7">
      <c r="B98" s="34">
        <v>44277</v>
      </c>
      <c r="C98" s="35">
        <v>132.990005</v>
      </c>
      <c r="D98" s="12">
        <f t="shared" si="2"/>
        <v>-3.2729651875421782E-2</v>
      </c>
      <c r="F98" s="31">
        <v>3969.31</v>
      </c>
      <c r="G98" s="12">
        <f t="shared" si="3"/>
        <v>1.3489153525614819E-2</v>
      </c>
    </row>
    <row r="99" spans="2:7">
      <c r="B99" s="34">
        <v>44284</v>
      </c>
      <c r="C99" s="35">
        <v>132.529999</v>
      </c>
      <c r="D99" s="12">
        <f t="shared" si="2"/>
        <v>-3.4589516708416757E-3</v>
      </c>
      <c r="F99" s="31">
        <v>4034.44</v>
      </c>
      <c r="G99" s="12">
        <f t="shared" si="3"/>
        <v>1.6408393398348858E-2</v>
      </c>
    </row>
    <row r="100" spans="2:7">
      <c r="B100" s="34">
        <v>44291</v>
      </c>
      <c r="C100" s="35">
        <v>135.449997</v>
      </c>
      <c r="D100" s="12">
        <f t="shared" si="2"/>
        <v>2.2032732377821811E-2</v>
      </c>
      <c r="F100" s="31">
        <v>4124.71</v>
      </c>
      <c r="G100" s="12">
        <f t="shared" si="3"/>
        <v>2.2374852519804478E-2</v>
      </c>
    </row>
    <row r="101" spans="2:7">
      <c r="B101" s="34">
        <v>44298</v>
      </c>
      <c r="C101" s="35">
        <v>134.30999800000001</v>
      </c>
      <c r="D101" s="12">
        <f t="shared" si="2"/>
        <v>-8.4163826153498475E-3</v>
      </c>
      <c r="F101" s="31">
        <v>4179.8</v>
      </c>
      <c r="G101" s="12">
        <f t="shared" si="3"/>
        <v>1.3356090488785914E-2</v>
      </c>
    </row>
    <row r="102" spans="2:7">
      <c r="B102" s="34">
        <v>44305</v>
      </c>
      <c r="C102" s="35">
        <v>130.19000199999999</v>
      </c>
      <c r="D102" s="12">
        <f t="shared" si="2"/>
        <v>-3.0675274077511448E-2</v>
      </c>
      <c r="F102" s="31">
        <v>4185.03</v>
      </c>
      <c r="G102" s="12">
        <f t="shared" si="3"/>
        <v>1.2512560409587931E-3</v>
      </c>
    </row>
    <row r="103" spans="2:7">
      <c r="B103" s="34">
        <v>44312</v>
      </c>
      <c r="C103" s="35">
        <v>132.61999499999999</v>
      </c>
      <c r="D103" s="12">
        <f t="shared" si="2"/>
        <v>1.8664973981642585E-2</v>
      </c>
      <c r="F103" s="31">
        <v>4191.9799999999996</v>
      </c>
      <c r="G103" s="12">
        <f t="shared" si="3"/>
        <v>1.6606810464918575E-3</v>
      </c>
    </row>
    <row r="104" spans="2:7">
      <c r="B104" s="34">
        <v>44319</v>
      </c>
      <c r="C104" s="35">
        <v>137.80999800000001</v>
      </c>
      <c r="D104" s="12">
        <f t="shared" si="2"/>
        <v>3.9134392969929002E-2</v>
      </c>
      <c r="F104" s="31">
        <v>4228.29</v>
      </c>
      <c r="G104" s="12">
        <f t="shared" si="3"/>
        <v>8.6617779664980282E-3</v>
      </c>
    </row>
    <row r="105" spans="2:7">
      <c r="B105" s="34">
        <v>44326</v>
      </c>
      <c r="C105" s="35">
        <v>135.929993</v>
      </c>
      <c r="D105" s="12">
        <f t="shared" si="2"/>
        <v>-1.364200730922303E-2</v>
      </c>
      <c r="F105" s="31">
        <v>4169.92</v>
      </c>
      <c r="G105" s="12">
        <f t="shared" si="3"/>
        <v>-1.3804634970638222E-2</v>
      </c>
    </row>
    <row r="106" spans="2:7">
      <c r="B106" s="34">
        <v>44333</v>
      </c>
      <c r="C106" s="35">
        <v>132.66000399999999</v>
      </c>
      <c r="D106" s="12">
        <f t="shared" si="2"/>
        <v>-2.4056419983778044E-2</v>
      </c>
      <c r="F106" s="31">
        <v>4170.16</v>
      </c>
      <c r="G106" s="12">
        <f t="shared" si="3"/>
        <v>5.7555061008312321E-5</v>
      </c>
    </row>
    <row r="107" spans="2:7">
      <c r="B107" s="34">
        <v>44340</v>
      </c>
      <c r="C107" s="35">
        <v>136.46000699999999</v>
      </c>
      <c r="D107" s="12">
        <f t="shared" si="2"/>
        <v>2.8644677260826888E-2</v>
      </c>
      <c r="F107" s="31">
        <v>4216.5200000000004</v>
      </c>
      <c r="G107" s="12">
        <f t="shared" si="3"/>
        <v>1.1117079440597144E-2</v>
      </c>
    </row>
    <row r="108" spans="2:7">
      <c r="B108" s="34">
        <v>44347</v>
      </c>
      <c r="C108" s="35">
        <v>133.740005</v>
      </c>
      <c r="D108" s="12">
        <f t="shared" si="2"/>
        <v>-1.9932594609935746E-2</v>
      </c>
      <c r="F108" s="31">
        <v>4229.34</v>
      </c>
      <c r="G108" s="12">
        <f t="shared" si="3"/>
        <v>3.0404219593408088E-3</v>
      </c>
    </row>
    <row r="109" spans="2:7">
      <c r="B109" s="34">
        <v>44354</v>
      </c>
      <c r="C109" s="35">
        <v>131.94000199999999</v>
      </c>
      <c r="D109" s="12">
        <f t="shared" si="2"/>
        <v>-1.3458972130291185E-2</v>
      </c>
      <c r="F109" s="31">
        <v>4248.3100000000004</v>
      </c>
      <c r="G109" s="12">
        <f t="shared" si="3"/>
        <v>4.485333408995317E-3</v>
      </c>
    </row>
    <row r="110" spans="2:7">
      <c r="B110" s="34">
        <v>44361</v>
      </c>
      <c r="C110" s="35">
        <v>128.41000399999999</v>
      </c>
      <c r="D110" s="12">
        <f t="shared" si="2"/>
        <v>-2.6754569853652165E-2</v>
      </c>
      <c r="F110" s="31">
        <v>4173.3999999999996</v>
      </c>
      <c r="G110" s="12">
        <f t="shared" si="3"/>
        <v>-1.7632894021387506E-2</v>
      </c>
    </row>
    <row r="111" spans="2:7">
      <c r="B111" s="34">
        <v>44368</v>
      </c>
      <c r="C111" s="35">
        <v>154.35000600000001</v>
      </c>
      <c r="D111" s="12">
        <f t="shared" si="2"/>
        <v>0.20200919859795366</v>
      </c>
      <c r="F111" s="31">
        <v>4284.8999999999996</v>
      </c>
      <c r="G111" s="12">
        <f t="shared" si="3"/>
        <v>2.6716825609814542E-2</v>
      </c>
    </row>
    <row r="112" spans="2:7">
      <c r="B112" s="34">
        <v>44375</v>
      </c>
      <c r="C112" s="101">
        <v>159.740005</v>
      </c>
      <c r="D112" s="12">
        <f t="shared" si="2"/>
        <v>3.4920627084394078E-2</v>
      </c>
      <c r="F112" s="101">
        <v>4356.46</v>
      </c>
      <c r="G112" s="12">
        <f t="shared" si="3"/>
        <v>1.6700506429555045E-2</v>
      </c>
    </row>
    <row r="113" spans="2:7">
      <c r="B113" s="34">
        <v>44382</v>
      </c>
      <c r="C113" s="101">
        <v>161</v>
      </c>
      <c r="D113" s="12">
        <f t="shared" si="2"/>
        <v>7.8877861560102212E-3</v>
      </c>
      <c r="F113" s="101">
        <v>4372.41</v>
      </c>
      <c r="G113" s="12">
        <f t="shared" si="3"/>
        <v>3.6612295303984927E-3</v>
      </c>
    </row>
    <row r="114" spans="2:7">
      <c r="B114" s="34">
        <v>44389</v>
      </c>
      <c r="C114" s="101">
        <v>159.85000600000001</v>
      </c>
      <c r="D114" s="12">
        <f t="shared" si="2"/>
        <v>-7.1428198757763506E-3</v>
      </c>
      <c r="F114" s="101">
        <v>4296.3999999999996</v>
      </c>
      <c r="G114" s="12">
        <f t="shared" si="3"/>
        <v>-1.7384005617039625E-2</v>
      </c>
    </row>
    <row r="115" spans="2:7">
      <c r="B115" s="34">
        <v>44396</v>
      </c>
      <c r="C115" s="101">
        <v>166.36000100000001</v>
      </c>
      <c r="D115" s="12">
        <f t="shared" si="2"/>
        <v>4.072564751733574E-2</v>
      </c>
      <c r="F115" s="101">
        <v>4409.58</v>
      </c>
      <c r="G115" s="12">
        <f t="shared" si="3"/>
        <v>2.6342984824504305E-2</v>
      </c>
    </row>
    <row r="116" spans="2:7">
      <c r="B116" s="34">
        <v>44403</v>
      </c>
      <c r="C116" s="101">
        <v>167.509995</v>
      </c>
      <c r="D116" s="12">
        <f t="shared" si="2"/>
        <v>6.9126832957881043E-3</v>
      </c>
      <c r="F116" s="101">
        <v>4406.8599999999997</v>
      </c>
      <c r="G116" s="12">
        <f t="shared" si="3"/>
        <v>-6.1683879190314146E-4</v>
      </c>
    </row>
    <row r="117" spans="2:7">
      <c r="B117" s="34">
        <v>44410</v>
      </c>
      <c r="C117" s="101">
        <v>172.800003</v>
      </c>
      <c r="D117" s="12">
        <f t="shared" si="2"/>
        <v>3.1580252867896036E-2</v>
      </c>
      <c r="F117" s="101">
        <v>4437.7700000000004</v>
      </c>
      <c r="G117" s="12">
        <f t="shared" si="3"/>
        <v>7.0140644359023806E-3</v>
      </c>
    </row>
    <row r="118" spans="2:7">
      <c r="B118" s="34">
        <v>44417</v>
      </c>
      <c r="C118" s="101">
        <v>171.69000199999999</v>
      </c>
      <c r="D118" s="12">
        <f t="shared" si="2"/>
        <v>-6.4236167866270873E-3</v>
      </c>
      <c r="F118" s="101">
        <v>4461.6499999999996</v>
      </c>
      <c r="G118" s="12">
        <f t="shared" si="3"/>
        <v>5.3810810384493108E-3</v>
      </c>
    </row>
    <row r="119" spans="2:7">
      <c r="B119" s="34">
        <v>44424</v>
      </c>
      <c r="C119" s="101">
        <v>167.78999300000001</v>
      </c>
      <c r="D119" s="12">
        <f t="shared" si="2"/>
        <v>-2.2715411232856666E-2</v>
      </c>
      <c r="F119" s="101">
        <v>4450.29</v>
      </c>
      <c r="G119" s="12">
        <f t="shared" si="3"/>
        <v>-2.5461432429705767E-3</v>
      </c>
    </row>
    <row r="120" spans="2:7">
      <c r="B120" s="34">
        <v>44431</v>
      </c>
      <c r="C120" s="101">
        <v>167.58000200000001</v>
      </c>
      <c r="D120" s="12">
        <f t="shared" si="2"/>
        <v>-1.2515108693043587E-3</v>
      </c>
      <c r="F120" s="101">
        <v>4513.76</v>
      </c>
      <c r="G120" s="12">
        <f t="shared" si="3"/>
        <v>1.4261991915133677E-2</v>
      </c>
    </row>
    <row r="121" spans="2:7">
      <c r="B121" s="34">
        <v>44438</v>
      </c>
      <c r="C121" s="101">
        <v>163.28999300000001</v>
      </c>
      <c r="D121" s="12">
        <f t="shared" si="2"/>
        <v>-2.5599766969808233E-2</v>
      </c>
      <c r="F121" s="101">
        <v>4535.38</v>
      </c>
      <c r="G121" s="12">
        <f t="shared" si="3"/>
        <v>4.7897983056254412E-3</v>
      </c>
    </row>
    <row r="122" spans="2:7">
      <c r="B122" s="34">
        <v>44445</v>
      </c>
      <c r="C122" s="101">
        <v>163.58999600000001</v>
      </c>
      <c r="D122" s="12">
        <f t="shared" si="2"/>
        <v>1.8372405711353285E-3</v>
      </c>
      <c r="F122" s="101">
        <v>4474.8100000000004</v>
      </c>
      <c r="G122" s="12">
        <f t="shared" si="3"/>
        <v>-1.3355000022048804E-2</v>
      </c>
    </row>
    <row r="123" spans="2:7">
      <c r="B123" s="34">
        <v>44452</v>
      </c>
      <c r="C123" s="101">
        <v>156.41999799999999</v>
      </c>
      <c r="D123" s="12">
        <f t="shared" si="2"/>
        <v>-4.3829073753385385E-2</v>
      </c>
      <c r="F123" s="101">
        <v>4402.95</v>
      </c>
      <c r="G123" s="12">
        <f t="shared" si="3"/>
        <v>-1.6058782384056659E-2</v>
      </c>
    </row>
    <row r="124" spans="2:7">
      <c r="B124" s="34">
        <v>44459</v>
      </c>
      <c r="C124" s="101">
        <v>149.58999600000001</v>
      </c>
      <c r="D124" s="12">
        <f t="shared" si="2"/>
        <v>-4.3664506375968498E-2</v>
      </c>
      <c r="F124" s="101">
        <v>4442.12</v>
      </c>
      <c r="G124" s="12">
        <f t="shared" si="3"/>
        <v>8.8963081570310985E-3</v>
      </c>
    </row>
    <row r="125" spans="2:7">
      <c r="B125" s="34">
        <v>44466</v>
      </c>
      <c r="C125" s="101">
        <v>147.05999800000001</v>
      </c>
      <c r="D125" s="12">
        <f t="shared" si="2"/>
        <v>-1.69128823293772E-2</v>
      </c>
      <c r="F125" s="101">
        <v>4348.84</v>
      </c>
      <c r="G125" s="12">
        <f t="shared" si="3"/>
        <v>-2.0998982467830617E-2</v>
      </c>
    </row>
    <row r="126" spans="2:7">
      <c r="B126" s="34">
        <v>44473</v>
      </c>
      <c r="C126" s="101">
        <v>152.479996</v>
      </c>
      <c r="D126" s="12">
        <f t="shared" si="2"/>
        <v>3.6855692055700912E-2</v>
      </c>
      <c r="F126" s="101">
        <v>4385.4399999999996</v>
      </c>
      <c r="G126" s="12">
        <f t="shared" si="3"/>
        <v>8.4160373800828397E-3</v>
      </c>
    </row>
    <row r="127" spans="2:7">
      <c r="B127" s="34">
        <v>44480</v>
      </c>
      <c r="C127" s="101">
        <v>158.009995</v>
      </c>
      <c r="D127" s="12">
        <f t="shared" si="2"/>
        <v>3.6267045809733653E-2</v>
      </c>
      <c r="F127" s="101">
        <v>4463.72</v>
      </c>
      <c r="G127" s="12">
        <f t="shared" si="3"/>
        <v>1.784997628516196E-2</v>
      </c>
    </row>
    <row r="128" spans="2:7">
      <c r="B128" s="34">
        <v>44487</v>
      </c>
      <c r="C128" s="101">
        <v>163.479996</v>
      </c>
      <c r="D128" s="12">
        <f t="shared" si="2"/>
        <v>3.4618069572117868E-2</v>
      </c>
      <c r="F128" s="101">
        <v>4553.6899999999996</v>
      </c>
      <c r="G128" s="12">
        <f t="shared" si="3"/>
        <v>2.0155834147302997E-2</v>
      </c>
    </row>
    <row r="129" spans="2:7">
      <c r="B129" s="34">
        <v>44494</v>
      </c>
      <c r="C129" s="101">
        <v>167.28999300000001</v>
      </c>
      <c r="D129" s="12">
        <f t="shared" si="2"/>
        <v>2.3305585351250008E-2</v>
      </c>
      <c r="F129" s="101">
        <v>4610.62</v>
      </c>
      <c r="G129" s="12">
        <f t="shared" si="3"/>
        <v>1.2501948968858288E-2</v>
      </c>
    </row>
    <row r="130" spans="2:7">
      <c r="B130" s="34">
        <v>44501</v>
      </c>
      <c r="C130" s="101">
        <v>177.509995</v>
      </c>
      <c r="D130" s="12">
        <f t="shared" si="2"/>
        <v>6.1091532235284352E-2</v>
      </c>
      <c r="F130" s="101">
        <v>4701.4799999999996</v>
      </c>
      <c r="G130" s="12">
        <f t="shared" si="3"/>
        <v>1.9706677193088929E-2</v>
      </c>
    </row>
    <row r="131" spans="2:7">
      <c r="B131" s="34">
        <v>44508</v>
      </c>
      <c r="C131" s="101">
        <v>169.08999600000001</v>
      </c>
      <c r="D131" s="12">
        <f t="shared" si="2"/>
        <v>-4.7433943085852658E-2</v>
      </c>
      <c r="F131" s="101">
        <v>4689.3</v>
      </c>
      <c r="G131" s="12">
        <f t="shared" si="3"/>
        <v>-2.5906735751294024E-3</v>
      </c>
    </row>
    <row r="132" spans="2:7">
      <c r="B132" s="34">
        <v>44515</v>
      </c>
      <c r="C132" s="101">
        <v>174.88000500000001</v>
      </c>
      <c r="D132" s="12">
        <f t="shared" si="2"/>
        <v>3.4242173617414939E-2</v>
      </c>
      <c r="F132" s="101">
        <v>4712</v>
      </c>
      <c r="G132" s="12">
        <f t="shared" si="3"/>
        <v>4.8408077964727817E-3</v>
      </c>
    </row>
    <row r="133" spans="2:7">
      <c r="B133" s="34">
        <v>44522</v>
      </c>
      <c r="C133" s="101">
        <v>168.020004</v>
      </c>
      <c r="D133" s="12">
        <f t="shared" si="2"/>
        <v>-3.9226903041316874E-2</v>
      </c>
      <c r="F133" s="101">
        <v>4628.75</v>
      </c>
      <c r="G133" s="12">
        <f t="shared" si="3"/>
        <v>-1.7667657045840408E-2</v>
      </c>
    </row>
    <row r="134" spans="2:7">
      <c r="B134" s="34">
        <v>44529</v>
      </c>
      <c r="C134" s="101">
        <v>170.240005</v>
      </c>
      <c r="D134" s="12">
        <f t="shared" si="2"/>
        <v>1.3212718409410325E-2</v>
      </c>
      <c r="F134" s="101">
        <v>4548.37</v>
      </c>
      <c r="G134" s="12">
        <f t="shared" si="3"/>
        <v>-1.7365379422090221E-2</v>
      </c>
    </row>
    <row r="135" spans="2:7">
      <c r="B135" s="34">
        <v>44536</v>
      </c>
      <c r="C135" s="101">
        <v>169.05999800000001</v>
      </c>
      <c r="D135" s="12">
        <f t="shared" si="2"/>
        <v>-6.9314318922863586E-3</v>
      </c>
      <c r="F135" s="101">
        <v>4710.3</v>
      </c>
      <c r="G135" s="12">
        <f t="shared" si="3"/>
        <v>3.560176502791116E-2</v>
      </c>
    </row>
    <row r="136" spans="2:7">
      <c r="B136" s="34">
        <v>44543</v>
      </c>
      <c r="C136" s="101">
        <v>161.36000100000001</v>
      </c>
      <c r="D136" s="12">
        <f t="shared" si="2"/>
        <v>-4.5545942807830836E-2</v>
      </c>
      <c r="F136" s="101">
        <v>4587.8999999999996</v>
      </c>
      <c r="G136" s="12">
        <f t="shared" si="3"/>
        <v>-2.5985606012356017E-2</v>
      </c>
    </row>
    <row r="137" spans="2:7">
      <c r="B137" s="34">
        <v>44550</v>
      </c>
      <c r="C137" s="101">
        <v>165.66999799999999</v>
      </c>
      <c r="D137" s="12">
        <f t="shared" ref="D137:D200" si="4">(C137-C136)/C136</f>
        <v>2.6710442323311469E-2</v>
      </c>
      <c r="F137" s="101">
        <v>4733.99</v>
      </c>
      <c r="G137" s="12">
        <f t="shared" ref="G137:G200" si="5">(F137-F136)/F136</f>
        <v>3.1842455153774089E-2</v>
      </c>
    </row>
    <row r="138" spans="2:7">
      <c r="B138" s="34">
        <v>44557</v>
      </c>
      <c r="C138" s="101">
        <v>166.66999799999999</v>
      </c>
      <c r="D138" s="12">
        <f t="shared" si="4"/>
        <v>6.0360959260710566E-3</v>
      </c>
      <c r="F138" s="101">
        <v>4778.1400000000003</v>
      </c>
      <c r="G138" s="12">
        <f t="shared" si="5"/>
        <v>9.3261709467068049E-3</v>
      </c>
    </row>
    <row r="139" spans="2:7">
      <c r="B139" s="34">
        <v>44564</v>
      </c>
      <c r="C139" s="101">
        <v>156.970001</v>
      </c>
      <c r="D139" s="12">
        <f t="shared" si="4"/>
        <v>-5.8198818722011367E-2</v>
      </c>
      <c r="F139" s="101">
        <v>4655.34</v>
      </c>
      <c r="G139" s="12">
        <f t="shared" si="5"/>
        <v>-2.5700377134198701E-2</v>
      </c>
    </row>
    <row r="140" spans="2:7">
      <c r="B140" s="34">
        <v>44571</v>
      </c>
      <c r="C140" s="101">
        <v>148.179993</v>
      </c>
      <c r="D140" s="12">
        <f t="shared" si="4"/>
        <v>-5.59980120023061E-2</v>
      </c>
      <c r="F140" s="101">
        <v>4632.24</v>
      </c>
      <c r="G140" s="12">
        <f t="shared" si="5"/>
        <v>-4.9620435886531091E-3</v>
      </c>
    </row>
    <row r="141" spans="2:7">
      <c r="B141" s="34">
        <v>44578</v>
      </c>
      <c r="C141" s="101">
        <v>142.949997</v>
      </c>
      <c r="D141" s="12">
        <f t="shared" si="4"/>
        <v>-3.5294886267135943E-2</v>
      </c>
      <c r="F141" s="101">
        <v>4356.32</v>
      </c>
      <c r="G141" s="12">
        <f t="shared" si="5"/>
        <v>-5.9565134794397546E-2</v>
      </c>
    </row>
    <row r="142" spans="2:7">
      <c r="B142" s="34">
        <v>44585</v>
      </c>
      <c r="C142" s="101">
        <v>145.91000399999999</v>
      </c>
      <c r="D142" s="12">
        <f t="shared" si="4"/>
        <v>2.0706590151240021E-2</v>
      </c>
      <c r="F142" s="101">
        <v>4431.79</v>
      </c>
      <c r="G142" s="12">
        <f t="shared" si="5"/>
        <v>1.7324255334778039E-2</v>
      </c>
    </row>
    <row r="143" spans="2:7">
      <c r="B143" s="34">
        <v>44592</v>
      </c>
      <c r="C143" s="101">
        <v>145.38999899999999</v>
      </c>
      <c r="D143" s="12">
        <f t="shared" si="4"/>
        <v>-3.5638748937324247E-3</v>
      </c>
      <c r="F143" s="101">
        <v>4505.75</v>
      </c>
      <c r="G143" s="12">
        <f t="shared" si="5"/>
        <v>1.6688516378258002E-2</v>
      </c>
    </row>
    <row r="144" spans="2:7">
      <c r="B144" s="34">
        <v>44599</v>
      </c>
      <c r="C144" s="101">
        <v>140.179993</v>
      </c>
      <c r="D144" s="12">
        <f t="shared" si="4"/>
        <v>-3.5834693141444982E-2</v>
      </c>
      <c r="F144" s="101">
        <v>4412.6099999999997</v>
      </c>
      <c r="G144" s="12">
        <f t="shared" si="5"/>
        <v>-2.0671364367752389E-2</v>
      </c>
    </row>
    <row r="145" spans="2:7">
      <c r="B145" s="34">
        <v>44606</v>
      </c>
      <c r="C145" s="101">
        <v>142.949997</v>
      </c>
      <c r="D145" s="12">
        <f t="shared" si="4"/>
        <v>1.9760337696692568E-2</v>
      </c>
      <c r="F145" s="101">
        <v>4332.74</v>
      </c>
      <c r="G145" s="12">
        <f t="shared" si="5"/>
        <v>-1.8100398630289082E-2</v>
      </c>
    </row>
    <row r="146" spans="2:7">
      <c r="B146" s="34">
        <v>44613</v>
      </c>
      <c r="C146" s="101">
        <v>138.800003</v>
      </c>
      <c r="D146" s="12">
        <f t="shared" si="4"/>
        <v>-2.9031088402191381E-2</v>
      </c>
      <c r="F146" s="101">
        <v>4354.17</v>
      </c>
      <c r="G146" s="12">
        <f t="shared" si="5"/>
        <v>4.9460618453912057E-3</v>
      </c>
    </row>
    <row r="147" spans="2:7">
      <c r="B147" s="34">
        <v>44620</v>
      </c>
      <c r="C147" s="101">
        <v>131.179993</v>
      </c>
      <c r="D147" s="12">
        <f t="shared" si="4"/>
        <v>-5.4899206306213172E-2</v>
      </c>
      <c r="F147" s="101">
        <v>4327.01</v>
      </c>
      <c r="G147" s="12">
        <f t="shared" si="5"/>
        <v>-6.2376985740106279E-3</v>
      </c>
    </row>
    <row r="148" spans="2:7">
      <c r="B148" s="34">
        <v>44627</v>
      </c>
      <c r="C148" s="101">
        <v>122.629997</v>
      </c>
      <c r="D148" s="12">
        <f t="shared" si="4"/>
        <v>-6.5177591524951464E-2</v>
      </c>
      <c r="F148" s="101">
        <v>4202.75</v>
      </c>
      <c r="G148" s="12">
        <f t="shared" si="5"/>
        <v>-2.871728976822337E-2</v>
      </c>
    </row>
    <row r="149" spans="2:7">
      <c r="B149" s="34">
        <v>44634</v>
      </c>
      <c r="C149" s="101">
        <v>131.240005</v>
      </c>
      <c r="D149" s="12">
        <f t="shared" si="4"/>
        <v>7.0211271390636931E-2</v>
      </c>
      <c r="F149" s="101">
        <v>4462.3999999999996</v>
      </c>
      <c r="G149" s="12">
        <f t="shared" si="5"/>
        <v>6.1780976741419219E-2</v>
      </c>
    </row>
    <row r="150" spans="2:7">
      <c r="B150" s="34">
        <v>44641</v>
      </c>
      <c r="C150" s="101">
        <v>133.699997</v>
      </c>
      <c r="D150" s="12">
        <f t="shared" si="4"/>
        <v>1.8744223607733021E-2</v>
      </c>
      <c r="F150" s="101">
        <v>4541.09</v>
      </c>
      <c r="G150" s="12">
        <f t="shared" si="5"/>
        <v>1.7634008605234966E-2</v>
      </c>
    </row>
    <row r="151" spans="2:7">
      <c r="B151" s="34">
        <v>44648</v>
      </c>
      <c r="C151" s="101">
        <v>133.520004</v>
      </c>
      <c r="D151" s="12">
        <f t="shared" si="4"/>
        <v>-1.3462453555626937E-3</v>
      </c>
      <c r="F151" s="101">
        <v>4547.97</v>
      </c>
      <c r="G151" s="12">
        <f t="shared" si="5"/>
        <v>1.5150547555763283E-3</v>
      </c>
    </row>
    <row r="152" spans="2:7">
      <c r="B152" s="34">
        <v>44655</v>
      </c>
      <c r="C152" s="101">
        <v>128.14999399999999</v>
      </c>
      <c r="D152" s="12">
        <f t="shared" si="4"/>
        <v>-4.0218767518910556E-2</v>
      </c>
      <c r="F152" s="101">
        <v>4462.6400000000003</v>
      </c>
      <c r="G152" s="12">
        <f t="shared" si="5"/>
        <v>-1.8762216989118206E-2</v>
      </c>
    </row>
    <row r="153" spans="2:7">
      <c r="B153" s="34">
        <v>44662</v>
      </c>
      <c r="C153" s="101">
        <v>133.46000699999999</v>
      </c>
      <c r="D153" s="12">
        <f t="shared" si="4"/>
        <v>4.1435920785138691E-2</v>
      </c>
      <c r="F153" s="101">
        <v>4385.63</v>
      </c>
      <c r="G153" s="12">
        <f t="shared" si="5"/>
        <v>-1.7256601473567265E-2</v>
      </c>
    </row>
    <row r="154" spans="2:7">
      <c r="B154" s="34">
        <v>44669</v>
      </c>
      <c r="C154" s="101">
        <v>129.070007</v>
      </c>
      <c r="D154" s="12">
        <f t="shared" si="4"/>
        <v>-3.2893749211327303E-2</v>
      </c>
      <c r="F154" s="101">
        <v>4255.34</v>
      </c>
      <c r="G154" s="12">
        <f t="shared" si="5"/>
        <v>-2.9708388532548338E-2</v>
      </c>
    </row>
    <row r="155" spans="2:7">
      <c r="B155" s="34">
        <v>44676</v>
      </c>
      <c r="C155" s="101">
        <v>124.699997</v>
      </c>
      <c r="D155" s="12">
        <f t="shared" si="4"/>
        <v>-3.3857672294075318E-2</v>
      </c>
      <c r="F155" s="101">
        <v>4130.6099999999997</v>
      </c>
      <c r="G155" s="12">
        <f t="shared" si="5"/>
        <v>-2.9311406374108877E-2</v>
      </c>
    </row>
    <row r="156" spans="2:7">
      <c r="B156" s="34">
        <v>44683</v>
      </c>
      <c r="C156" s="101">
        <v>114.489998</v>
      </c>
      <c r="D156" s="12">
        <f t="shared" si="4"/>
        <v>-8.1876497559177946E-2</v>
      </c>
      <c r="F156" s="101">
        <v>4081.27</v>
      </c>
      <c r="G156" s="12">
        <f t="shared" si="5"/>
        <v>-1.19449669661381E-2</v>
      </c>
    </row>
    <row r="157" spans="2:7">
      <c r="B157" s="34">
        <v>44690</v>
      </c>
      <c r="C157" s="101">
        <v>113.010002</v>
      </c>
      <c r="D157" s="12">
        <f t="shared" si="4"/>
        <v>-1.2926858466710777E-2</v>
      </c>
      <c r="F157" s="101">
        <v>4013.02</v>
      </c>
      <c r="G157" s="12">
        <f t="shared" si="5"/>
        <v>-1.6722735815077171E-2</v>
      </c>
    </row>
    <row r="158" spans="2:7">
      <c r="B158" s="34">
        <v>44697</v>
      </c>
      <c r="C158" s="101">
        <v>108</v>
      </c>
      <c r="D158" s="12">
        <f t="shared" si="4"/>
        <v>-4.4332376881118893E-2</v>
      </c>
      <c r="F158" s="101">
        <v>3919.42</v>
      </c>
      <c r="G158" s="12">
        <f t="shared" si="5"/>
        <v>-2.3324080119211943E-2</v>
      </c>
    </row>
    <row r="159" spans="2:7">
      <c r="B159" s="34">
        <v>44704</v>
      </c>
      <c r="C159" s="101">
        <v>115.989998</v>
      </c>
      <c r="D159" s="12">
        <f t="shared" si="4"/>
        <v>7.3981462962962957E-2</v>
      </c>
      <c r="F159" s="101">
        <v>4151.09</v>
      </c>
      <c r="G159" s="12">
        <f t="shared" si="5"/>
        <v>5.910823540217687E-2</v>
      </c>
    </row>
    <row r="160" spans="2:7">
      <c r="B160" s="34">
        <v>44711</v>
      </c>
      <c r="C160" s="101">
        <v>120.949997</v>
      </c>
      <c r="D160" s="12">
        <f t="shared" si="4"/>
        <v>4.2762299211350933E-2</v>
      </c>
      <c r="F160" s="101">
        <v>4134.72</v>
      </c>
      <c r="G160" s="12">
        <f t="shared" si="5"/>
        <v>-3.9435425394293766E-3</v>
      </c>
    </row>
    <row r="161" spans="2:7">
      <c r="B161" s="34">
        <v>44718</v>
      </c>
      <c r="C161" s="101">
        <v>114.730003</v>
      </c>
      <c r="D161" s="12">
        <f t="shared" si="4"/>
        <v>-5.1426160845626144E-2</v>
      </c>
      <c r="F161" s="101">
        <v>3838.15</v>
      </c>
      <c r="G161" s="12">
        <f t="shared" si="5"/>
        <v>-7.1726743286123398E-2</v>
      </c>
    </row>
    <row r="162" spans="2:7">
      <c r="B162" s="34">
        <v>44725</v>
      </c>
      <c r="C162" s="101">
        <v>107.339996</v>
      </c>
      <c r="D162" s="12">
        <f t="shared" si="4"/>
        <v>-6.4412157297686096E-2</v>
      </c>
      <c r="F162" s="101">
        <v>3715.31</v>
      </c>
      <c r="G162" s="12">
        <f t="shared" si="5"/>
        <v>-3.2005002410015276E-2</v>
      </c>
    </row>
    <row r="163" spans="2:7">
      <c r="B163" s="34">
        <v>44732</v>
      </c>
      <c r="C163" s="101">
        <v>112.910004</v>
      </c>
      <c r="D163" s="12">
        <f t="shared" si="4"/>
        <v>5.1891263346050445E-2</v>
      </c>
      <c r="F163" s="101">
        <v>3920.76</v>
      </c>
      <c r="G163" s="12">
        <f t="shared" si="5"/>
        <v>5.529821199307737E-2</v>
      </c>
    </row>
    <row r="164" spans="2:7">
      <c r="B164" s="34">
        <v>44739</v>
      </c>
      <c r="C164" s="101">
        <v>101.18</v>
      </c>
      <c r="D164" s="12">
        <f t="shared" si="4"/>
        <v>-0.10388808417720005</v>
      </c>
      <c r="F164" s="101">
        <v>3792.61</v>
      </c>
      <c r="G164" s="12">
        <f t="shared" si="5"/>
        <v>-3.2684989644864791E-2</v>
      </c>
    </row>
    <row r="165" spans="2:7">
      <c r="B165" s="34">
        <v>44746</v>
      </c>
      <c r="C165" s="101">
        <v>107.93</v>
      </c>
      <c r="D165" s="12">
        <f t="shared" si="4"/>
        <v>6.6712789088752708E-2</v>
      </c>
      <c r="F165" s="101">
        <v>3880.94</v>
      </c>
      <c r="G165" s="12">
        <f t="shared" si="5"/>
        <v>2.3290029821152167E-2</v>
      </c>
    </row>
    <row r="166" spans="2:7">
      <c r="B166" s="34">
        <v>44753</v>
      </c>
      <c r="C166" s="101">
        <v>104.699997</v>
      </c>
      <c r="D166" s="12">
        <f t="shared" si="4"/>
        <v>-2.992683220605958E-2</v>
      </c>
      <c r="F166" s="101">
        <v>3883.79</v>
      </c>
      <c r="G166" s="12">
        <f t="shared" si="5"/>
        <v>7.3435817095855878E-4</v>
      </c>
    </row>
    <row r="167" spans="2:7">
      <c r="B167" s="34">
        <v>44760</v>
      </c>
      <c r="C167" s="101">
        <v>109.120003</v>
      </c>
      <c r="D167" s="12">
        <f t="shared" si="4"/>
        <v>4.2215913339519968E-2</v>
      </c>
      <c r="F167" s="101">
        <v>3965.72</v>
      </c>
      <c r="G167" s="12">
        <f t="shared" si="5"/>
        <v>2.1095373333779591E-2</v>
      </c>
    </row>
    <row r="168" spans="2:7">
      <c r="B168" s="34">
        <v>44767</v>
      </c>
      <c r="C168" s="101">
        <v>114.91999800000001</v>
      </c>
      <c r="D168" s="12">
        <f t="shared" si="4"/>
        <v>5.3152445386204852E-2</v>
      </c>
      <c r="F168" s="101">
        <v>4112.38</v>
      </c>
      <c r="G168" s="12">
        <f t="shared" si="5"/>
        <v>3.6981935184531516E-2</v>
      </c>
    </row>
    <row r="169" spans="2:7">
      <c r="B169" s="34">
        <v>44774</v>
      </c>
      <c r="C169" s="101">
        <v>113.870003</v>
      </c>
      <c r="D169" s="12">
        <f t="shared" si="4"/>
        <v>-9.1367474614819401E-3</v>
      </c>
      <c r="F169" s="101">
        <v>4155.93</v>
      </c>
      <c r="G169" s="12">
        <f t="shared" si="5"/>
        <v>1.0589974661874677E-2</v>
      </c>
    </row>
    <row r="170" spans="2:7">
      <c r="B170" s="34">
        <v>44781</v>
      </c>
      <c r="C170" s="101">
        <v>116.07</v>
      </c>
      <c r="D170" s="12">
        <f t="shared" si="4"/>
        <v>1.9320250654599493E-2</v>
      </c>
      <c r="F170" s="101">
        <v>4269.37</v>
      </c>
      <c r="G170" s="12">
        <f t="shared" si="5"/>
        <v>2.7295936168318425E-2</v>
      </c>
    </row>
    <row r="171" spans="2:7">
      <c r="B171" s="34">
        <v>44788</v>
      </c>
      <c r="C171" s="101">
        <v>113.160004</v>
      </c>
      <c r="D171" s="12">
        <f t="shared" si="4"/>
        <v>-2.5071043335917916E-2</v>
      </c>
      <c r="F171" s="101">
        <v>4195.08</v>
      </c>
      <c r="G171" s="12">
        <f t="shared" si="5"/>
        <v>-1.7400693779175844E-2</v>
      </c>
    </row>
    <row r="172" spans="2:7">
      <c r="B172" s="34">
        <v>44795</v>
      </c>
      <c r="C172" s="101">
        <v>108.279999</v>
      </c>
      <c r="D172" s="12">
        <f t="shared" si="4"/>
        <v>-4.312482173471819E-2</v>
      </c>
      <c r="F172" s="101">
        <v>4034.58</v>
      </c>
      <c r="G172" s="12">
        <f t="shared" si="5"/>
        <v>-3.8259103521267775E-2</v>
      </c>
    </row>
    <row r="173" spans="2:7">
      <c r="B173" s="34">
        <v>44802</v>
      </c>
      <c r="C173" s="101">
        <v>105.739998</v>
      </c>
      <c r="D173" s="12">
        <f t="shared" si="4"/>
        <v>-2.3457711705372326E-2</v>
      </c>
      <c r="F173" s="101">
        <v>3930.89</v>
      </c>
      <c r="G173" s="12">
        <f t="shared" si="5"/>
        <v>-2.57003207273124E-2</v>
      </c>
    </row>
    <row r="174" spans="2:7">
      <c r="B174" s="34">
        <v>44809</v>
      </c>
      <c r="C174" s="101">
        <v>110.970001</v>
      </c>
      <c r="D174" s="12">
        <f t="shared" si="4"/>
        <v>4.9460971240041035E-2</v>
      </c>
      <c r="F174" s="101">
        <v>4083.67</v>
      </c>
      <c r="G174" s="12">
        <f t="shared" si="5"/>
        <v>3.8866516234237085E-2</v>
      </c>
    </row>
    <row r="175" spans="2:7">
      <c r="B175" s="34">
        <v>44816</v>
      </c>
      <c r="C175" s="101">
        <v>104.120003</v>
      </c>
      <c r="D175" s="12">
        <f t="shared" si="4"/>
        <v>-6.1728376482577479E-2</v>
      </c>
      <c r="F175" s="101">
        <v>3849.91</v>
      </c>
      <c r="G175" s="12">
        <f t="shared" si="5"/>
        <v>-5.7242627342562011E-2</v>
      </c>
    </row>
    <row r="176" spans="2:7">
      <c r="B176" s="34">
        <v>44823</v>
      </c>
      <c r="C176" s="101">
        <v>97.019997000000004</v>
      </c>
      <c r="D176" s="12">
        <f t="shared" si="4"/>
        <v>-6.8190605027162676E-2</v>
      </c>
      <c r="F176" s="101">
        <v>3682.72</v>
      </c>
      <c r="G176" s="12">
        <f t="shared" si="5"/>
        <v>-4.3426989202345008E-2</v>
      </c>
    </row>
    <row r="177" spans="2:7">
      <c r="B177" s="34">
        <v>44830</v>
      </c>
      <c r="C177" s="101">
        <v>83.120002999999997</v>
      </c>
      <c r="D177" s="12">
        <f t="shared" si="4"/>
        <v>-0.14326937157089384</v>
      </c>
      <c r="F177" s="101">
        <v>3609.78</v>
      </c>
      <c r="G177" s="12">
        <f t="shared" si="5"/>
        <v>-1.9806012946952146E-2</v>
      </c>
    </row>
    <row r="178" spans="2:7">
      <c r="B178" s="34">
        <v>44837</v>
      </c>
      <c r="C178" s="101">
        <v>87.160004000000001</v>
      </c>
      <c r="D178" s="12">
        <f t="shared" si="4"/>
        <v>4.860443761052323E-2</v>
      </c>
      <c r="F178" s="101">
        <v>3647.51</v>
      </c>
      <c r="G178" s="12">
        <f t="shared" si="5"/>
        <v>1.0452160519477645E-2</v>
      </c>
    </row>
    <row r="179" spans="2:7">
      <c r="B179" s="34">
        <v>44844</v>
      </c>
      <c r="C179" s="101">
        <v>87.550003000000004</v>
      </c>
      <c r="D179" s="12">
        <f t="shared" si="4"/>
        <v>4.474517922234183E-3</v>
      </c>
      <c r="F179" s="101">
        <v>3638.65</v>
      </c>
      <c r="G179" s="12">
        <f t="shared" si="5"/>
        <v>-2.4290543411807307E-3</v>
      </c>
    </row>
    <row r="180" spans="2:7">
      <c r="B180" s="34">
        <v>44851</v>
      </c>
      <c r="C180" s="101">
        <v>88.5</v>
      </c>
      <c r="D180" s="12">
        <f t="shared" si="4"/>
        <v>1.0850907680722709E-2</v>
      </c>
      <c r="F180" s="101">
        <v>3762.01</v>
      </c>
      <c r="G180" s="12">
        <f t="shared" si="5"/>
        <v>3.3902683687631434E-2</v>
      </c>
    </row>
    <row r="181" spans="2:7">
      <c r="B181" s="34">
        <v>44858</v>
      </c>
      <c r="C181" s="101">
        <v>93.830001999999993</v>
      </c>
      <c r="D181" s="12">
        <f t="shared" si="4"/>
        <v>6.0226011299434952E-2</v>
      </c>
      <c r="F181" s="101">
        <v>3881.85</v>
      </c>
      <c r="G181" s="12">
        <f t="shared" si="5"/>
        <v>3.1855311389390163E-2</v>
      </c>
    </row>
    <row r="182" spans="2:7">
      <c r="B182" s="34">
        <v>44865</v>
      </c>
      <c r="C182" s="101">
        <v>95.790001000000004</v>
      </c>
      <c r="D182" s="12">
        <f t="shared" si="4"/>
        <v>2.0888830419080781E-2</v>
      </c>
      <c r="F182" s="101">
        <v>3780.71</v>
      </c>
      <c r="G182" s="12">
        <f t="shared" si="5"/>
        <v>-2.6054587374576523E-2</v>
      </c>
    </row>
    <row r="183" spans="2:7">
      <c r="B183" s="34">
        <v>44872</v>
      </c>
      <c r="C183" s="101">
        <v>106.089996</v>
      </c>
      <c r="D183" s="12">
        <f t="shared" si="4"/>
        <v>0.10752682840038801</v>
      </c>
      <c r="F183" s="101">
        <v>3977.97</v>
      </c>
      <c r="G183" s="12">
        <f t="shared" si="5"/>
        <v>5.2175385046723963E-2</v>
      </c>
    </row>
    <row r="184" spans="2:7">
      <c r="B184" s="34">
        <v>44879</v>
      </c>
      <c r="C184" s="101">
        <v>105.41999800000001</v>
      </c>
      <c r="D184" s="12">
        <f t="shared" si="4"/>
        <v>-6.3153739773917283E-3</v>
      </c>
      <c r="F184" s="101">
        <v>3956.23</v>
      </c>
      <c r="G184" s="12">
        <f t="shared" si="5"/>
        <v>-5.4650990329237733E-3</v>
      </c>
    </row>
    <row r="185" spans="2:7">
      <c r="B185" s="34">
        <v>44886</v>
      </c>
      <c r="C185" s="101">
        <v>105.959999</v>
      </c>
      <c r="D185" s="12">
        <f t="shared" si="4"/>
        <v>5.1223772552147981E-3</v>
      </c>
      <c r="F185" s="101">
        <v>4005.36</v>
      </c>
      <c r="G185" s="12">
        <f t="shared" si="5"/>
        <v>1.241838821302101E-2</v>
      </c>
    </row>
    <row r="186" spans="2:7">
      <c r="B186" s="34">
        <v>44893</v>
      </c>
      <c r="C186" s="101">
        <v>112.199997</v>
      </c>
      <c r="D186" s="12">
        <f t="shared" si="4"/>
        <v>5.8890128906097856E-2</v>
      </c>
      <c r="F186" s="101">
        <v>4052.02</v>
      </c>
      <c r="G186" s="12">
        <f t="shared" si="5"/>
        <v>1.164938981764432E-2</v>
      </c>
    </row>
    <row r="187" spans="2:7">
      <c r="B187" s="34">
        <v>44900</v>
      </c>
      <c r="C187" s="101">
        <v>109.41999800000001</v>
      </c>
      <c r="D187" s="12">
        <f t="shared" si="4"/>
        <v>-2.4777175350548266E-2</v>
      </c>
      <c r="F187" s="101">
        <v>3939.29</v>
      </c>
      <c r="G187" s="12">
        <f t="shared" si="5"/>
        <v>-2.7820691901816876E-2</v>
      </c>
    </row>
    <row r="188" spans="2:7">
      <c r="B188" s="34">
        <v>44907</v>
      </c>
      <c r="C188" s="101">
        <v>105.949997</v>
      </c>
      <c r="D188" s="12">
        <f t="shared" si="4"/>
        <v>-3.1712676507268903E-2</v>
      </c>
      <c r="F188" s="101">
        <v>3853.79</v>
      </c>
      <c r="G188" s="12">
        <f t="shared" si="5"/>
        <v>-2.1704418816588775E-2</v>
      </c>
    </row>
    <row r="189" spans="2:7">
      <c r="B189" s="34">
        <v>44914</v>
      </c>
      <c r="C189" s="101">
        <v>116.25</v>
      </c>
      <c r="D189" s="12">
        <f t="shared" si="4"/>
        <v>9.7215698835744227E-2</v>
      </c>
      <c r="F189" s="101">
        <v>3843.34</v>
      </c>
      <c r="G189" s="12">
        <f t="shared" si="5"/>
        <v>-2.7116163568849934E-3</v>
      </c>
    </row>
    <row r="190" spans="2:7">
      <c r="B190" s="34">
        <v>44921</v>
      </c>
      <c r="C190" s="101">
        <v>117.010002</v>
      </c>
      <c r="D190" s="12">
        <f t="shared" si="4"/>
        <v>6.5376516129032267E-3</v>
      </c>
      <c r="F190" s="101">
        <v>3853.29</v>
      </c>
      <c r="G190" s="12">
        <f t="shared" si="5"/>
        <v>2.5888940348758678E-3</v>
      </c>
    </row>
    <row r="191" spans="2:7">
      <c r="B191" s="34">
        <v>44928</v>
      </c>
      <c r="C191" s="101">
        <v>124.529999</v>
      </c>
      <c r="D191" s="12">
        <f t="shared" si="4"/>
        <v>6.4267984543748699E-2</v>
      </c>
      <c r="F191" s="101">
        <v>3910.82</v>
      </c>
      <c r="G191" s="12">
        <f t="shared" si="5"/>
        <v>1.4930098694881568E-2</v>
      </c>
    </row>
    <row r="192" spans="2:7">
      <c r="B192" s="34">
        <v>44935</v>
      </c>
      <c r="C192" s="101">
        <v>128.85000600000001</v>
      </c>
      <c r="D192" s="12">
        <f t="shared" si="4"/>
        <v>3.4690492529434645E-2</v>
      </c>
      <c r="F192" s="101">
        <v>3999.28</v>
      </c>
      <c r="G192" s="12">
        <f t="shared" si="5"/>
        <v>2.26192972317826E-2</v>
      </c>
    </row>
    <row r="193" spans="2:7">
      <c r="B193" s="34">
        <v>44942</v>
      </c>
      <c r="C193" s="101">
        <v>126.620003</v>
      </c>
      <c r="D193" s="12">
        <f t="shared" si="4"/>
        <v>-1.7306968538286373E-2</v>
      </c>
      <c r="F193" s="101">
        <v>3978.14</v>
      </c>
      <c r="G193" s="12">
        <f t="shared" si="5"/>
        <v>-5.2859514712649096E-3</v>
      </c>
    </row>
    <row r="194" spans="2:7">
      <c r="B194" s="34">
        <v>44949</v>
      </c>
      <c r="C194" s="101">
        <v>127.529999</v>
      </c>
      <c r="D194" s="12">
        <f t="shared" si="4"/>
        <v>7.1868265553587671E-3</v>
      </c>
      <c r="F194" s="101">
        <v>4049.27</v>
      </c>
      <c r="G194" s="12">
        <f t="shared" si="5"/>
        <v>1.7880215377035526E-2</v>
      </c>
    </row>
    <row r="195" spans="2:7">
      <c r="B195" s="34">
        <v>44956</v>
      </c>
      <c r="C195" s="101">
        <v>127.610001</v>
      </c>
      <c r="D195" s="12">
        <f t="shared" si="4"/>
        <v>6.2731906710038665E-4</v>
      </c>
      <c r="F195" s="101">
        <v>4119.57</v>
      </c>
      <c r="G195" s="12">
        <f t="shared" si="5"/>
        <v>1.7361153985780087E-2</v>
      </c>
    </row>
    <row r="196" spans="2:7">
      <c r="B196" s="34">
        <v>44963</v>
      </c>
      <c r="C196" s="101">
        <v>122.230003</v>
      </c>
      <c r="D196" s="12">
        <f t="shared" si="4"/>
        <v>-4.215968934911301E-2</v>
      </c>
      <c r="F196" s="101">
        <v>4096.62</v>
      </c>
      <c r="G196" s="12">
        <f t="shared" si="5"/>
        <v>-5.5709697856814715E-3</v>
      </c>
    </row>
    <row r="197" spans="2:7">
      <c r="B197" s="34">
        <v>44970</v>
      </c>
      <c r="C197" s="101">
        <v>124.839996</v>
      </c>
      <c r="D197" s="12">
        <f t="shared" si="4"/>
        <v>2.1353128822225446E-2</v>
      </c>
      <c r="F197" s="101">
        <v>4052.35</v>
      </c>
      <c r="G197" s="12">
        <f t="shared" si="5"/>
        <v>-1.0806469723821098E-2</v>
      </c>
    </row>
    <row r="198" spans="2:7">
      <c r="B198" s="34">
        <v>44977</v>
      </c>
      <c r="C198" s="101">
        <v>118.040001</v>
      </c>
      <c r="D198" s="12">
        <f t="shared" si="4"/>
        <v>-5.4469682937189422E-2</v>
      </c>
      <c r="F198" s="101">
        <v>3992.36</v>
      </c>
      <c r="G198" s="12">
        <f t="shared" si="5"/>
        <v>-1.4803755845373618E-2</v>
      </c>
    </row>
    <row r="199" spans="2:7">
      <c r="B199" s="34">
        <v>44984</v>
      </c>
      <c r="C199" s="101">
        <v>120.94000200000001</v>
      </c>
      <c r="D199" s="12">
        <f t="shared" si="4"/>
        <v>2.4567951333717822E-2</v>
      </c>
      <c r="F199" s="101">
        <v>4055.15</v>
      </c>
      <c r="G199" s="12">
        <f t="shared" si="5"/>
        <v>1.5727539600637209E-2</v>
      </c>
    </row>
    <row r="200" spans="2:7">
      <c r="B200" s="34">
        <v>44991</v>
      </c>
      <c r="C200" s="101">
        <v>117.489998</v>
      </c>
      <c r="D200" s="12">
        <f t="shared" si="4"/>
        <v>-2.8526574689489478E-2</v>
      </c>
      <c r="F200" s="101">
        <v>3835.12</v>
      </c>
      <c r="G200" s="12">
        <f t="shared" si="5"/>
        <v>-5.4259398542594033E-2</v>
      </c>
    </row>
    <row r="201" spans="2:7">
      <c r="B201" s="34">
        <v>44998</v>
      </c>
      <c r="C201" s="101">
        <v>120.389999</v>
      </c>
      <c r="D201" s="12">
        <f t="shared" ref="D201:D264" si="6">(C201-C200)/C200</f>
        <v>2.4682960672107623E-2</v>
      </c>
      <c r="F201" s="101">
        <v>3917.47</v>
      </c>
      <c r="G201" s="12">
        <f t="shared" ref="G201:G264" si="7">(F201-F200)/F200</f>
        <v>2.1472600596591479E-2</v>
      </c>
    </row>
    <row r="202" spans="2:7">
      <c r="B202" s="34">
        <v>45005</v>
      </c>
      <c r="C202" s="101">
        <v>120.709999</v>
      </c>
      <c r="D202" s="12">
        <f t="shared" si="6"/>
        <v>2.6580280974999688E-3</v>
      </c>
      <c r="F202" s="101">
        <v>3982.93</v>
      </c>
      <c r="G202" s="12">
        <f t="shared" si="7"/>
        <v>1.6709764210064159E-2</v>
      </c>
    </row>
    <row r="203" spans="2:7">
      <c r="B203" s="34">
        <v>45012</v>
      </c>
      <c r="C203" s="101">
        <v>122.639999</v>
      </c>
      <c r="D203" s="12">
        <f t="shared" si="6"/>
        <v>1.5988733460266261E-2</v>
      </c>
      <c r="F203" s="101">
        <v>4102.2</v>
      </c>
      <c r="G203" s="12">
        <f t="shared" si="7"/>
        <v>2.9945291531611146E-2</v>
      </c>
    </row>
    <row r="204" spans="2:7">
      <c r="B204" s="34">
        <v>45019</v>
      </c>
      <c r="C204" s="101">
        <v>120.220001</v>
      </c>
      <c r="D204" s="12">
        <f t="shared" si="6"/>
        <v>-1.9732534407473426E-2</v>
      </c>
      <c r="F204" s="101">
        <v>4085.2</v>
      </c>
      <c r="G204" s="12">
        <f t="shared" si="7"/>
        <v>-4.144117790453903E-3</v>
      </c>
    </row>
    <row r="205" spans="2:7">
      <c r="B205" s="34">
        <v>45026</v>
      </c>
      <c r="C205" s="101">
        <v>125.949997</v>
      </c>
      <c r="D205" s="12">
        <f t="shared" si="6"/>
        <v>4.7662584863894651E-2</v>
      </c>
      <c r="F205" s="101">
        <v>4137.17</v>
      </c>
      <c r="G205" s="12">
        <f t="shared" si="7"/>
        <v>1.2721531381572568E-2</v>
      </c>
    </row>
    <row r="206" spans="2:7">
      <c r="B206" s="34">
        <v>45033</v>
      </c>
      <c r="C206" s="101">
        <v>125.529999</v>
      </c>
      <c r="D206" s="12">
        <f t="shared" si="6"/>
        <v>-3.3346408098762605E-3</v>
      </c>
      <c r="F206" s="101">
        <v>4132.07</v>
      </c>
      <c r="G206" s="12">
        <f t="shared" si="7"/>
        <v>-1.2327267189891553E-3</v>
      </c>
    </row>
    <row r="207" spans="2:7">
      <c r="B207" s="34">
        <v>45040</v>
      </c>
      <c r="C207" s="101">
        <v>126.720001</v>
      </c>
      <c r="D207" s="12">
        <f t="shared" si="6"/>
        <v>9.4798216321183328E-3</v>
      </c>
      <c r="F207" s="101">
        <v>4166.79</v>
      </c>
      <c r="G207" s="12">
        <f t="shared" si="7"/>
        <v>8.4025682043141221E-3</v>
      </c>
    </row>
    <row r="208" spans="2:7">
      <c r="B208" s="34">
        <v>45047</v>
      </c>
      <c r="C208" s="101">
        <v>126.589996</v>
      </c>
      <c r="D208" s="12">
        <f t="shared" si="6"/>
        <v>-1.0259232873585367E-3</v>
      </c>
      <c r="F208" s="101">
        <v>4136.9799999999996</v>
      </c>
      <c r="G208" s="12">
        <f t="shared" si="7"/>
        <v>-7.1541882360283094E-3</v>
      </c>
    </row>
    <row r="209" spans="2:7">
      <c r="B209" s="34">
        <v>45054</v>
      </c>
      <c r="C209" s="101">
        <v>120.209999</v>
      </c>
      <c r="D209" s="12">
        <f t="shared" si="6"/>
        <v>-5.0398903559488249E-2</v>
      </c>
      <c r="F209" s="101">
        <v>4126.6499999999996</v>
      </c>
      <c r="G209" s="12">
        <f t="shared" si="7"/>
        <v>-2.4969905583299722E-3</v>
      </c>
    </row>
    <row r="210" spans="2:7">
      <c r="B210" s="34">
        <v>45061</v>
      </c>
      <c r="C210" s="101">
        <v>114.760002</v>
      </c>
      <c r="D210" s="12">
        <f t="shared" si="6"/>
        <v>-4.5337301766386305E-2</v>
      </c>
      <c r="F210" s="101">
        <v>4190.78</v>
      </c>
      <c r="G210" s="12">
        <f t="shared" si="7"/>
        <v>1.5540450486472106E-2</v>
      </c>
    </row>
    <row r="211" spans="2:7">
      <c r="B211" s="34">
        <v>45068</v>
      </c>
      <c r="C211" s="101">
        <v>107.510002</v>
      </c>
      <c r="D211" s="12">
        <f t="shared" si="6"/>
        <v>-6.3175321310991267E-2</v>
      </c>
      <c r="F211" s="101">
        <v>4226.71</v>
      </c>
      <c r="G211" s="12">
        <f t="shared" si="7"/>
        <v>8.5735829606899648E-3</v>
      </c>
    </row>
    <row r="212" spans="2:7">
      <c r="B212" s="34">
        <v>45075</v>
      </c>
      <c r="C212" s="101">
        <v>107.779999</v>
      </c>
      <c r="D212" s="12">
        <f t="shared" si="6"/>
        <v>2.5113663378036545E-3</v>
      </c>
      <c r="F212" s="101">
        <v>4282.99</v>
      </c>
      <c r="G212" s="12">
        <f t="shared" si="7"/>
        <v>1.3315320899706804E-2</v>
      </c>
    </row>
    <row r="213" spans="2:7">
      <c r="B213" s="34">
        <v>45082</v>
      </c>
      <c r="C213" s="101">
        <v>105.860001</v>
      </c>
      <c r="D213" s="12">
        <f t="shared" si="6"/>
        <v>-1.7814047298330433E-2</v>
      </c>
      <c r="F213" s="101">
        <v>4308.32</v>
      </c>
      <c r="G213" s="12">
        <f t="shared" si="7"/>
        <v>5.9140927249421386E-3</v>
      </c>
    </row>
    <row r="214" spans="2:7">
      <c r="B214" s="34">
        <v>45089</v>
      </c>
      <c r="C214" s="101">
        <v>113.589996</v>
      </c>
      <c r="D214" s="12">
        <f t="shared" si="6"/>
        <v>7.3020923171916483E-2</v>
      </c>
      <c r="F214" s="101">
        <v>4396.1099999999997</v>
      </c>
      <c r="G214" s="12">
        <f t="shared" si="7"/>
        <v>2.0376852230103607E-2</v>
      </c>
    </row>
    <row r="215" spans="2:7">
      <c r="B215" s="34">
        <v>45096</v>
      </c>
      <c r="C215" s="101">
        <v>109.519997</v>
      </c>
      <c r="D215" s="12">
        <f t="shared" si="6"/>
        <v>-3.5830611350668555E-2</v>
      </c>
      <c r="F215" s="101">
        <v>4344.84</v>
      </c>
      <c r="G215" s="12">
        <f t="shared" si="7"/>
        <v>-1.1662583511331502E-2</v>
      </c>
    </row>
    <row r="216" spans="2:7">
      <c r="B216" s="34">
        <v>45103</v>
      </c>
      <c r="C216" s="101">
        <v>110.370003</v>
      </c>
      <c r="D216" s="12">
        <f t="shared" si="6"/>
        <v>7.7611945150070933E-3</v>
      </c>
      <c r="F216" s="101">
        <v>4450.4799999999996</v>
      </c>
      <c r="G216" s="12">
        <f t="shared" si="7"/>
        <v>2.4313898785685874E-2</v>
      </c>
    </row>
    <row r="217" spans="2:7">
      <c r="B217" s="34">
        <v>45110</v>
      </c>
      <c r="C217" s="101">
        <v>104.459999</v>
      </c>
      <c r="D217" s="12">
        <f t="shared" si="6"/>
        <v>-5.3547194340476743E-2</v>
      </c>
      <c r="F217" s="101">
        <v>4394.2299999999996</v>
      </c>
      <c r="G217" s="12">
        <f t="shared" si="7"/>
        <v>-1.2639086121047619E-2</v>
      </c>
    </row>
    <row r="218" spans="2:7">
      <c r="B218" s="34">
        <v>45117</v>
      </c>
      <c r="C218" s="101">
        <v>107.949997</v>
      </c>
      <c r="D218" s="12">
        <f t="shared" si="6"/>
        <v>3.3409898845585859E-2</v>
      </c>
      <c r="F218" s="101">
        <v>4508.8599999999997</v>
      </c>
      <c r="G218" s="12">
        <f t="shared" si="7"/>
        <v>2.6086481590631379E-2</v>
      </c>
    </row>
    <row r="219" spans="2:7">
      <c r="B219" s="34">
        <v>45124</v>
      </c>
      <c r="C219" s="101">
        <v>109.05999799999999</v>
      </c>
      <c r="D219" s="12">
        <f t="shared" si="6"/>
        <v>1.0282547761441781E-2</v>
      </c>
      <c r="F219" s="101">
        <v>4543.3900000000003</v>
      </c>
      <c r="G219" s="12">
        <f t="shared" si="7"/>
        <v>7.6582550799981939E-3</v>
      </c>
    </row>
    <row r="220" spans="2:7">
      <c r="B220" s="34">
        <v>45131</v>
      </c>
      <c r="C220" s="101">
        <v>108.620003</v>
      </c>
      <c r="D220" s="12">
        <f t="shared" si="6"/>
        <v>-4.0344306626522788E-3</v>
      </c>
      <c r="F220" s="101">
        <v>4584.82</v>
      </c>
      <c r="G220" s="12">
        <f t="shared" si="7"/>
        <v>9.1187417324947624E-3</v>
      </c>
    </row>
    <row r="221" spans="2:7">
      <c r="B221" s="34">
        <v>45138</v>
      </c>
      <c r="C221" s="101">
        <v>108.80999799999999</v>
      </c>
      <c r="D221" s="12">
        <f t="shared" si="6"/>
        <v>1.7491713749998345E-3</v>
      </c>
      <c r="F221" s="101">
        <v>4491.58</v>
      </c>
      <c r="G221" s="12">
        <f t="shared" si="7"/>
        <v>-2.0336676249013003E-2</v>
      </c>
    </row>
    <row r="222" spans="2:7">
      <c r="B222" s="34">
        <v>45145</v>
      </c>
      <c r="C222" s="101">
        <v>108.089996</v>
      </c>
      <c r="D222" s="12">
        <f t="shared" si="6"/>
        <v>-6.6170573773927819E-3</v>
      </c>
      <c r="F222" s="101">
        <v>4458.13</v>
      </c>
      <c r="G222" s="12">
        <f t="shared" si="7"/>
        <v>-7.4472679992340822E-3</v>
      </c>
    </row>
    <row r="223" spans="2:7">
      <c r="B223" s="34">
        <v>45152</v>
      </c>
      <c r="C223" s="101">
        <v>104.80999799999999</v>
      </c>
      <c r="D223" s="12">
        <f t="shared" si="6"/>
        <v>-3.0345065421225535E-2</v>
      </c>
      <c r="F223" s="101">
        <v>4380.28</v>
      </c>
      <c r="G223" s="12">
        <f t="shared" si="7"/>
        <v>-1.7462478662578336E-2</v>
      </c>
    </row>
    <row r="224" spans="2:7">
      <c r="B224" s="34">
        <v>45159</v>
      </c>
      <c r="C224" s="101">
        <v>98.839995999999999</v>
      </c>
      <c r="D224" s="12">
        <f t="shared" si="6"/>
        <v>-5.6960233889137124E-2</v>
      </c>
      <c r="F224" s="101">
        <v>4426.03</v>
      </c>
      <c r="G224" s="12">
        <f t="shared" si="7"/>
        <v>1.0444537792104615E-2</v>
      </c>
    </row>
    <row r="225" spans="2:7">
      <c r="B225" s="34">
        <v>45166</v>
      </c>
      <c r="C225" s="101">
        <v>102.360001</v>
      </c>
      <c r="D225" s="12">
        <f t="shared" si="6"/>
        <v>3.5613164128416169E-2</v>
      </c>
      <c r="F225" s="101">
        <v>4510.0600000000004</v>
      </c>
      <c r="G225" s="12">
        <f t="shared" si="7"/>
        <v>1.8985411305391209E-2</v>
      </c>
    </row>
    <row r="226" spans="2:7">
      <c r="B226" s="34">
        <v>45173</v>
      </c>
      <c r="C226" s="101">
        <v>97.669998000000007</v>
      </c>
      <c r="D226" s="12">
        <f t="shared" si="6"/>
        <v>-4.581870803225168E-2</v>
      </c>
      <c r="F226" s="101">
        <v>4480.9799999999996</v>
      </c>
      <c r="G226" s="12">
        <f t="shared" si="7"/>
        <v>-6.447807789696996E-3</v>
      </c>
    </row>
    <row r="227" spans="2:7">
      <c r="B227" s="34">
        <v>45180</v>
      </c>
      <c r="C227" s="101">
        <v>96.260002</v>
      </c>
      <c r="D227" s="12">
        <f t="shared" si="6"/>
        <v>-1.4436326700856558E-2</v>
      </c>
      <c r="F227" s="101">
        <v>4445.13</v>
      </c>
      <c r="G227" s="12">
        <f t="shared" si="7"/>
        <v>-8.0004820374113376E-3</v>
      </c>
    </row>
    <row r="228" spans="2:7">
      <c r="B228" s="34">
        <v>45187</v>
      </c>
      <c r="C228" s="101">
        <v>90.849997999999999</v>
      </c>
      <c r="D228" s="12">
        <f t="shared" si="6"/>
        <v>-5.6201993430251548E-2</v>
      </c>
      <c r="F228" s="101">
        <v>4310.62</v>
      </c>
      <c r="G228" s="12">
        <f t="shared" si="7"/>
        <v>-3.026008238229258E-2</v>
      </c>
    </row>
    <row r="229" spans="2:7">
      <c r="B229" s="34">
        <v>45194</v>
      </c>
      <c r="C229" s="101">
        <v>95.620002999999997</v>
      </c>
      <c r="D229" s="12">
        <f t="shared" si="6"/>
        <v>5.2504183874610519E-2</v>
      </c>
      <c r="F229" s="101">
        <v>4284.5200000000004</v>
      </c>
      <c r="G229" s="12">
        <f t="shared" si="7"/>
        <v>-6.0548134607085417E-3</v>
      </c>
    </row>
    <row r="230" spans="2:7">
      <c r="B230" s="34">
        <v>45201</v>
      </c>
      <c r="C230" s="101">
        <v>97.110000999999997</v>
      </c>
      <c r="D230" s="12">
        <f t="shared" si="6"/>
        <v>1.5582492713370862E-2</v>
      </c>
      <c r="F230" s="101">
        <v>4289.0200000000004</v>
      </c>
      <c r="G230" s="12">
        <f t="shared" si="7"/>
        <v>1.0502926815605948E-3</v>
      </c>
    </row>
    <row r="231" spans="2:7">
      <c r="B231" s="34">
        <v>45208</v>
      </c>
      <c r="C231" s="101">
        <v>99.910004000000001</v>
      </c>
      <c r="D231" s="12">
        <f t="shared" si="6"/>
        <v>2.8833312441218117E-2</v>
      </c>
      <c r="F231" s="101">
        <v>4342.37</v>
      </c>
      <c r="G231" s="12">
        <f t="shared" si="7"/>
        <v>1.2438738919380056E-2</v>
      </c>
    </row>
    <row r="232" spans="2:7">
      <c r="B232" s="34">
        <v>45215</v>
      </c>
      <c r="C232" s="101">
        <v>102.66999800000001</v>
      </c>
      <c r="D232" s="12">
        <f t="shared" si="6"/>
        <v>2.7624801216102505E-2</v>
      </c>
      <c r="F232" s="101">
        <v>4210.3999999999996</v>
      </c>
      <c r="G232" s="12">
        <f t="shared" si="7"/>
        <v>-3.0391237964521738E-2</v>
      </c>
    </row>
    <row r="233" spans="2:7">
      <c r="B233" s="34">
        <v>45222</v>
      </c>
      <c r="C233" s="101">
        <v>97.980002999999996</v>
      </c>
      <c r="D233" s="12">
        <f t="shared" si="6"/>
        <v>-4.5680287244186074E-2</v>
      </c>
      <c r="F233" s="101">
        <v>4139.3900000000003</v>
      </c>
      <c r="G233" s="12">
        <f t="shared" si="7"/>
        <v>-1.6865380961428679E-2</v>
      </c>
    </row>
    <row r="234" spans="2:7">
      <c r="B234" s="34">
        <v>45229</v>
      </c>
      <c r="C234" s="101">
        <v>107.05999799999999</v>
      </c>
      <c r="D234" s="12">
        <f t="shared" si="6"/>
        <v>9.267192000392159E-2</v>
      </c>
      <c r="F234" s="101">
        <v>4364.2700000000004</v>
      </c>
      <c r="G234" s="12">
        <f t="shared" si="7"/>
        <v>5.4326845259808833E-2</v>
      </c>
    </row>
    <row r="235" spans="2:7">
      <c r="B235" s="34">
        <v>45236</v>
      </c>
      <c r="C235" s="101">
        <v>106.110001</v>
      </c>
      <c r="D235" s="12">
        <f t="shared" si="6"/>
        <v>-8.8735010064169458E-3</v>
      </c>
      <c r="F235" s="101">
        <v>4406.66</v>
      </c>
      <c r="G235" s="12">
        <f t="shared" si="7"/>
        <v>9.712964596599068E-3</v>
      </c>
    </row>
    <row r="236" spans="2:7">
      <c r="B236" s="34">
        <v>45243</v>
      </c>
      <c r="C236" s="101">
        <v>105.959999</v>
      </c>
      <c r="D236" s="12">
        <f t="shared" si="6"/>
        <v>-1.4136462028682918E-3</v>
      </c>
      <c r="F236" s="101">
        <v>4511.7</v>
      </c>
      <c r="G236" s="12">
        <f t="shared" si="7"/>
        <v>2.3836647256652424E-2</v>
      </c>
    </row>
    <row r="237" spans="2:7">
      <c r="B237" s="34">
        <v>45250</v>
      </c>
      <c r="C237" s="101">
        <v>107.639999</v>
      </c>
      <c r="D237" s="12">
        <f t="shared" si="6"/>
        <v>1.5855039787231472E-2</v>
      </c>
      <c r="F237" s="101">
        <v>4554.8599999999997</v>
      </c>
      <c r="G237" s="12">
        <f t="shared" si="7"/>
        <v>9.5662388899970859E-3</v>
      </c>
    </row>
    <row r="238" spans="2:7">
      <c r="B238" s="34">
        <v>45257</v>
      </c>
      <c r="C238" s="101">
        <v>113.480003</v>
      </c>
      <c r="D238" s="12">
        <f t="shared" si="6"/>
        <v>5.4254961485088765E-2</v>
      </c>
      <c r="F238" s="101">
        <v>4564.37</v>
      </c>
      <c r="G238" s="12">
        <f t="shared" si="7"/>
        <v>2.0878797592023069E-3</v>
      </c>
    </row>
    <row r="239" spans="2:7">
      <c r="B239" s="34">
        <v>45264</v>
      </c>
      <c r="C239" s="101">
        <v>115.910004</v>
      </c>
      <c r="D239" s="12">
        <f t="shared" si="6"/>
        <v>2.1413473173771458E-2</v>
      </c>
      <c r="F239" s="101">
        <v>4593.3900000000003</v>
      </c>
      <c r="G239" s="12">
        <f t="shared" si="7"/>
        <v>6.3579420599119783E-3</v>
      </c>
    </row>
    <row r="240" spans="2:7">
      <c r="B240" s="34">
        <v>45271</v>
      </c>
      <c r="C240" s="101">
        <v>121.550003</v>
      </c>
      <c r="D240" s="12">
        <f t="shared" si="6"/>
        <v>4.8658431588010323E-2</v>
      </c>
      <c r="F240" s="101">
        <v>4725.58</v>
      </c>
      <c r="G240" s="12">
        <f t="shared" si="7"/>
        <v>2.877830970154931E-2</v>
      </c>
    </row>
    <row r="241" spans="2:7">
      <c r="B241" s="34">
        <v>45278</v>
      </c>
      <c r="C241" s="101">
        <v>108.040001</v>
      </c>
      <c r="D241" s="12">
        <f t="shared" si="6"/>
        <v>-0.11114768956443383</v>
      </c>
      <c r="F241" s="101">
        <v>4758.8599999999997</v>
      </c>
      <c r="G241" s="12">
        <f t="shared" si="7"/>
        <v>7.0425217645240894E-3</v>
      </c>
    </row>
    <row r="242" spans="2:7">
      <c r="B242" s="34">
        <v>45285</v>
      </c>
      <c r="C242" s="101">
        <v>108.57</v>
      </c>
      <c r="D242" s="12">
        <f t="shared" si="6"/>
        <v>4.9055812207923748E-3</v>
      </c>
      <c r="F242" s="101">
        <v>4745.2</v>
      </c>
      <c r="G242" s="12">
        <f t="shared" si="7"/>
        <v>-2.8704353563668308E-3</v>
      </c>
    </row>
    <row r="243" spans="2:7">
      <c r="B243" s="34">
        <v>45292</v>
      </c>
      <c r="C243" s="101">
        <v>102.08000199999999</v>
      </c>
      <c r="D243" s="12">
        <f t="shared" si="6"/>
        <v>-5.9777083908998808E-2</v>
      </c>
      <c r="F243" s="101">
        <v>4703.7</v>
      </c>
      <c r="G243" s="12">
        <f t="shared" si="7"/>
        <v>-8.7456798448958956E-3</v>
      </c>
    </row>
    <row r="244" spans="2:7">
      <c r="B244" s="34">
        <v>45299</v>
      </c>
      <c r="C244" s="101">
        <v>105.05999799999999</v>
      </c>
      <c r="D244" s="12">
        <f t="shared" si="6"/>
        <v>2.9192750211740788E-2</v>
      </c>
      <c r="F244" s="101">
        <v>4772.3500000000004</v>
      </c>
      <c r="G244" s="12">
        <f t="shared" si="7"/>
        <v>1.4594893381805928E-2</v>
      </c>
    </row>
    <row r="245" spans="2:7">
      <c r="B245" s="34">
        <v>45306</v>
      </c>
      <c r="C245" s="101">
        <v>101.779999</v>
      </c>
      <c r="D245" s="12">
        <f t="shared" si="6"/>
        <v>-3.1220246168289379E-2</v>
      </c>
      <c r="F245" s="101">
        <v>4853.42</v>
      </c>
      <c r="G245" s="12">
        <f t="shared" si="7"/>
        <v>1.6987438054627112E-2</v>
      </c>
    </row>
    <row r="246" spans="2:7">
      <c r="B246" s="34">
        <v>45313</v>
      </c>
      <c r="C246" s="101">
        <v>102.75</v>
      </c>
      <c r="D246" s="12">
        <f t="shared" si="6"/>
        <v>9.5303695178852992E-3</v>
      </c>
      <c r="F246" s="101">
        <v>4892.95</v>
      </c>
      <c r="G246" s="12">
        <f t="shared" si="7"/>
        <v>8.1447721400578852E-3</v>
      </c>
    </row>
    <row r="247" spans="2:7">
      <c r="B247" s="34">
        <v>45320</v>
      </c>
      <c r="C247" s="101">
        <v>100.709999</v>
      </c>
      <c r="D247" s="12">
        <f t="shared" si="6"/>
        <v>-1.9854024330900281E-2</v>
      </c>
      <c r="F247" s="101">
        <v>4957.1899999999996</v>
      </c>
      <c r="G247" s="12">
        <f t="shared" si="7"/>
        <v>1.3129093900407686E-2</v>
      </c>
    </row>
    <row r="248" spans="2:7">
      <c r="B248" s="34">
        <v>45327</v>
      </c>
      <c r="C248" s="101">
        <v>104.5</v>
      </c>
      <c r="D248" s="12">
        <f t="shared" si="6"/>
        <v>3.7632817372980056E-2</v>
      </c>
      <c r="F248" s="101">
        <v>5026.83</v>
      </c>
      <c r="G248" s="12">
        <f t="shared" si="7"/>
        <v>1.4048281385220324E-2</v>
      </c>
    </row>
    <row r="249" spans="2:7">
      <c r="B249" s="34">
        <v>45334</v>
      </c>
      <c r="C249" s="101">
        <v>103.510002</v>
      </c>
      <c r="D249" s="12">
        <f t="shared" si="6"/>
        <v>-9.4736650717703336E-3</v>
      </c>
      <c r="F249" s="101">
        <v>4989.32</v>
      </c>
      <c r="G249" s="12">
        <f t="shared" si="7"/>
        <v>-7.4619591273228291E-3</v>
      </c>
    </row>
    <row r="250" spans="2:7">
      <c r="B250" s="34">
        <v>45341</v>
      </c>
      <c r="C250" s="101">
        <v>105.629997</v>
      </c>
      <c r="D250" s="12">
        <f t="shared" si="6"/>
        <v>2.0481064235705483E-2</v>
      </c>
      <c r="F250" s="101">
        <v>5093</v>
      </c>
      <c r="G250" s="12">
        <f t="shared" si="7"/>
        <v>2.0780386906432198E-2</v>
      </c>
    </row>
    <row r="251" spans="2:7">
      <c r="B251" s="34">
        <v>45348</v>
      </c>
      <c r="C251" s="101">
        <v>101.879997</v>
      </c>
      <c r="D251" s="12">
        <f t="shared" si="6"/>
        <v>-3.5501279054282277E-2</v>
      </c>
      <c r="F251" s="101">
        <v>5130.99</v>
      </c>
      <c r="G251" s="12">
        <f t="shared" si="7"/>
        <v>7.4592578048301161E-3</v>
      </c>
    </row>
    <row r="252" spans="2:7">
      <c r="B252" s="34">
        <v>45355</v>
      </c>
      <c r="C252" s="101">
        <v>99.160004000000001</v>
      </c>
      <c r="D252" s="12">
        <f t="shared" si="6"/>
        <v>-2.6698008245917029E-2</v>
      </c>
      <c r="F252" s="101">
        <v>5111.96</v>
      </c>
      <c r="G252" s="12">
        <f t="shared" si="7"/>
        <v>-3.7088359166554106E-3</v>
      </c>
    </row>
    <row r="253" spans="2:7">
      <c r="B253" s="34">
        <v>45362</v>
      </c>
      <c r="C253" s="101">
        <v>99.639999000000003</v>
      </c>
      <c r="D253" s="12">
        <f t="shared" si="6"/>
        <v>4.8406109382569448E-3</v>
      </c>
      <c r="F253" s="101">
        <v>5154.7700000000004</v>
      </c>
      <c r="G253" s="12">
        <f t="shared" si="7"/>
        <v>8.3744786735421243E-3</v>
      </c>
    </row>
    <row r="254" spans="2:7">
      <c r="B254" s="34">
        <v>45369</v>
      </c>
      <c r="C254" s="101">
        <v>93.860000999999997</v>
      </c>
      <c r="D254" s="12">
        <f t="shared" si="6"/>
        <v>-5.8008812304383962E-2</v>
      </c>
      <c r="F254" s="101">
        <v>5219.5200000000004</v>
      </c>
      <c r="G254" s="12">
        <f t="shared" si="7"/>
        <v>1.2561181197221213E-2</v>
      </c>
    </row>
    <row r="255" spans="2:7">
      <c r="B255" s="34">
        <v>45376</v>
      </c>
      <c r="C255" s="101">
        <v>93.980002999999996</v>
      </c>
      <c r="D255" s="12">
        <f t="shared" si="6"/>
        <v>1.2785211881683179E-3</v>
      </c>
      <c r="F255" s="101">
        <v>5257.97</v>
      </c>
      <c r="G255" s="12">
        <f t="shared" si="7"/>
        <v>7.3665777696032995E-3</v>
      </c>
    </row>
    <row r="256" spans="2:7">
      <c r="B256" s="34">
        <v>45383</v>
      </c>
      <c r="C256" s="101">
        <v>88.839995999999999</v>
      </c>
      <c r="D256" s="12">
        <f t="shared" si="6"/>
        <v>-5.4692560501407916E-2</v>
      </c>
      <c r="F256" s="101">
        <v>5211.37</v>
      </c>
      <c r="G256" s="12">
        <f t="shared" si="7"/>
        <v>-8.8627359988741588E-3</v>
      </c>
    </row>
    <row r="257" spans="2:7">
      <c r="B257" s="34">
        <v>45390</v>
      </c>
      <c r="C257" s="101">
        <v>92</v>
      </c>
      <c r="D257" s="12">
        <f t="shared" si="6"/>
        <v>3.5569609886069789E-2</v>
      </c>
      <c r="F257" s="101">
        <v>5149.67</v>
      </c>
      <c r="G257" s="12">
        <f t="shared" si="7"/>
        <v>-1.1839497099611008E-2</v>
      </c>
    </row>
    <row r="258" spans="2:7">
      <c r="B258" s="34">
        <v>45397</v>
      </c>
      <c r="C258" s="101">
        <v>94.529999000000004</v>
      </c>
      <c r="D258" s="12">
        <f t="shared" si="6"/>
        <v>2.7499989130434822E-2</v>
      </c>
      <c r="F258" s="101">
        <v>4987.33</v>
      </c>
      <c r="G258" s="12">
        <f t="shared" si="7"/>
        <v>-3.1524350103987277E-2</v>
      </c>
    </row>
    <row r="259" spans="2:7">
      <c r="B259" s="34">
        <v>45404</v>
      </c>
      <c r="C259" s="101">
        <v>94.120002999999997</v>
      </c>
      <c r="D259" s="12">
        <f t="shared" si="6"/>
        <v>-4.337205165949559E-3</v>
      </c>
      <c r="F259" s="101">
        <v>5114.13</v>
      </c>
      <c r="G259" s="12">
        <f t="shared" si="7"/>
        <v>2.5424425494202346E-2</v>
      </c>
    </row>
    <row r="260" spans="2:7">
      <c r="B260" s="34">
        <v>45411</v>
      </c>
      <c r="C260" s="101">
        <v>92.150002000000001</v>
      </c>
      <c r="D260" s="12">
        <f t="shared" si="6"/>
        <v>-2.0930736689415495E-2</v>
      </c>
      <c r="F260" s="101">
        <v>5142.42</v>
      </c>
      <c r="G260" s="12">
        <f t="shared" si="7"/>
        <v>5.5317326700729088E-3</v>
      </c>
    </row>
    <row r="261" spans="2:7">
      <c r="B261" s="34">
        <v>45418</v>
      </c>
      <c r="C261" s="101">
        <v>90.940002000000007</v>
      </c>
      <c r="D261" s="12">
        <f t="shared" si="6"/>
        <v>-1.3130764771985505E-2</v>
      </c>
      <c r="F261" s="101">
        <v>5233.08</v>
      </c>
      <c r="G261" s="12">
        <f t="shared" si="7"/>
        <v>1.7629831869042174E-2</v>
      </c>
    </row>
    <row r="262" spans="2:7">
      <c r="B262" s="34">
        <v>45425</v>
      </c>
      <c r="C262" s="101">
        <v>92.18</v>
      </c>
      <c r="D262" s="12">
        <f t="shared" si="6"/>
        <v>1.3635341683849972E-2</v>
      </c>
      <c r="F262" s="101">
        <v>5305.35</v>
      </c>
      <c r="G262" s="12">
        <f t="shared" si="7"/>
        <v>1.3810222660460081E-2</v>
      </c>
    </row>
    <row r="263" spans="2:7">
      <c r="B263" s="34">
        <v>45432</v>
      </c>
      <c r="C263" s="101">
        <v>91.75</v>
      </c>
      <c r="D263" s="12">
        <f t="shared" si="6"/>
        <v>-4.6647862876980561E-3</v>
      </c>
      <c r="F263" s="101">
        <v>5315.91</v>
      </c>
      <c r="G263" s="12">
        <f t="shared" si="7"/>
        <v>1.9904436088098785E-3</v>
      </c>
    </row>
    <row r="264" spans="2:7">
      <c r="B264" s="34">
        <v>45439</v>
      </c>
      <c r="C264" s="101">
        <v>95.050003000000004</v>
      </c>
      <c r="D264" s="12">
        <f t="shared" si="6"/>
        <v>3.5967335149863805E-2</v>
      </c>
      <c r="F264" s="101">
        <v>5297.15</v>
      </c>
      <c r="G264" s="12">
        <f t="shared" si="7"/>
        <v>-3.5290288962755612E-3</v>
      </c>
    </row>
    <row r="265" spans="2:7">
      <c r="B265" s="34">
        <v>45446</v>
      </c>
      <c r="C265" s="101">
        <v>96.550003000000004</v>
      </c>
      <c r="D265" s="12">
        <f t="shared" ref="D265:D266" si="8">(C265-C264)/C264</f>
        <v>1.5781167308327175E-2</v>
      </c>
      <c r="F265" s="101">
        <v>5341.22</v>
      </c>
      <c r="G265" s="12">
        <f t="shared" ref="G265:G266" si="9">(F265-F264)/F264</f>
        <v>8.3195680696224617E-3</v>
      </c>
    </row>
    <row r="266" spans="2:7">
      <c r="B266" s="34">
        <v>45453</v>
      </c>
      <c r="C266" s="101">
        <v>93.389999000000003</v>
      </c>
      <c r="D266" s="12">
        <f t="shared" si="8"/>
        <v>-3.2729196290133732E-2</v>
      </c>
      <c r="F266" s="101">
        <v>5424.75</v>
      </c>
      <c r="G266" s="12">
        <f t="shared" si="9"/>
        <v>1.5638749199621011E-2</v>
      </c>
    </row>
    <row r="267" spans="2:7">
      <c r="B267" s="34"/>
      <c r="C267" s="101"/>
      <c r="D267" s="12"/>
      <c r="F267" s="101"/>
      <c r="G267" s="12"/>
    </row>
    <row r="268" spans="2:7">
      <c r="B268" s="34"/>
      <c r="C268" s="101"/>
      <c r="D268" s="12"/>
      <c r="F268" s="101"/>
      <c r="G268" s="12"/>
    </row>
  </sheetData>
  <mergeCells count="3">
    <mergeCell ref="B4:D4"/>
    <mergeCell ref="F4:G4"/>
    <mergeCell ref="I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559-1980-4DE8-B7BA-36E443FC802F}">
  <dimension ref="B2:G29"/>
  <sheetViews>
    <sheetView showGridLines="0" workbookViewId="0">
      <selection activeCell="J15" sqref="J15"/>
    </sheetView>
  </sheetViews>
  <sheetFormatPr baseColWidth="10" defaultColWidth="8.83203125" defaultRowHeight="15"/>
  <cols>
    <col min="1" max="1" width="1.83203125" customWidth="1"/>
  </cols>
  <sheetData>
    <row r="2" spans="2:7">
      <c r="B2" s="43" t="s">
        <v>66</v>
      </c>
      <c r="C2" s="44"/>
      <c r="D2" s="44"/>
      <c r="E2" s="44"/>
      <c r="F2" s="44"/>
      <c r="G2" s="44"/>
    </row>
    <row r="4" spans="2:7">
      <c r="B4" s="36" t="s">
        <v>64</v>
      </c>
      <c r="C4" s="37" t="s">
        <v>65</v>
      </c>
    </row>
    <row r="5" spans="2:7">
      <c r="B5" s="33">
        <v>2000</v>
      </c>
      <c r="C5" s="14">
        <v>-0.1014</v>
      </c>
      <c r="E5" t="s">
        <v>67</v>
      </c>
      <c r="G5" s="14">
        <f>AVERAGE(C5:C29)</f>
        <v>6.9795999999999997E-2</v>
      </c>
    </row>
    <row r="6" spans="2:7">
      <c r="B6" s="33">
        <v>2001</v>
      </c>
      <c r="C6" s="14">
        <v>-0.13039999999999999</v>
      </c>
      <c r="E6" t="s">
        <v>68</v>
      </c>
      <c r="G6" s="45">
        <v>1.35E-2</v>
      </c>
    </row>
    <row r="7" spans="2:7">
      <c r="B7" s="33">
        <v>2002</v>
      </c>
      <c r="C7" s="14">
        <v>-0.23369999999999999</v>
      </c>
      <c r="E7" s="46" t="s">
        <v>69</v>
      </c>
      <c r="F7" s="46"/>
      <c r="G7" s="47">
        <f>SUM(G5:G6)</f>
        <v>8.3295999999999995E-2</v>
      </c>
    </row>
    <row r="8" spans="2:7">
      <c r="B8" s="33">
        <v>2003</v>
      </c>
      <c r="C8" s="14">
        <v>0.26379999999999998</v>
      </c>
    </row>
    <row r="9" spans="2:7">
      <c r="B9" s="33">
        <v>2004</v>
      </c>
      <c r="C9" s="14">
        <v>8.9899999999999994E-2</v>
      </c>
    </row>
    <row r="10" spans="2:7">
      <c r="B10" s="33">
        <v>2005</v>
      </c>
      <c r="C10" s="14">
        <v>0.03</v>
      </c>
    </row>
    <row r="11" spans="2:7">
      <c r="B11" s="33">
        <v>2006</v>
      </c>
      <c r="C11" s="14">
        <v>0.13619999999999999</v>
      </c>
    </row>
    <row r="12" spans="2:7">
      <c r="B12" s="33">
        <v>2007</v>
      </c>
      <c r="C12" s="14">
        <v>3.5299999999999998E-2</v>
      </c>
    </row>
    <row r="13" spans="2:7">
      <c r="B13" s="33">
        <v>2008</v>
      </c>
      <c r="C13" s="14">
        <v>-0.38490000000000002</v>
      </c>
    </row>
    <row r="14" spans="2:7">
      <c r="B14" s="33">
        <v>2009</v>
      </c>
      <c r="C14" s="14">
        <v>0.23449999999999999</v>
      </c>
    </row>
    <row r="15" spans="2:7">
      <c r="B15" s="33">
        <v>2010</v>
      </c>
      <c r="C15" s="14">
        <v>0.1278</v>
      </c>
    </row>
    <row r="16" spans="2:7">
      <c r="B16" s="33">
        <v>2011</v>
      </c>
      <c r="C16" s="14">
        <v>0</v>
      </c>
    </row>
    <row r="17" spans="2:3">
      <c r="B17" s="33">
        <v>2012</v>
      </c>
      <c r="C17" s="14">
        <v>0.1341</v>
      </c>
    </row>
    <row r="18" spans="2:3">
      <c r="B18" s="33">
        <v>2013</v>
      </c>
      <c r="C18" s="14">
        <v>0.29599999999999999</v>
      </c>
    </row>
    <row r="19" spans="2:3">
      <c r="B19" s="33">
        <v>2014</v>
      </c>
      <c r="C19" s="14">
        <v>0.1139</v>
      </c>
    </row>
    <row r="20" spans="2:3">
      <c r="B20" s="33">
        <v>2015</v>
      </c>
      <c r="C20" s="14">
        <v>-7.3000000000000001E-3</v>
      </c>
    </row>
    <row r="21" spans="2:3">
      <c r="B21" s="33">
        <v>2016</v>
      </c>
      <c r="C21" s="14">
        <v>9.5399999999999999E-2</v>
      </c>
    </row>
    <row r="22" spans="2:3">
      <c r="B22" s="33">
        <v>2017</v>
      </c>
      <c r="C22" s="14">
        <v>0.19420000000000001</v>
      </c>
    </row>
    <row r="23" spans="2:3">
      <c r="B23" s="33">
        <v>2018</v>
      </c>
      <c r="C23" s="14">
        <v>-6.2399999999999997E-2</v>
      </c>
    </row>
    <row r="24" spans="2:3">
      <c r="B24" s="33">
        <v>2019</v>
      </c>
      <c r="C24" s="14">
        <v>0.2888</v>
      </c>
    </row>
    <row r="25" spans="2:3">
      <c r="B25" s="33">
        <v>2020</v>
      </c>
      <c r="C25" s="14">
        <v>0.16259999999999999</v>
      </c>
    </row>
    <row r="26" spans="2:3">
      <c r="B26" s="33">
        <v>2021</v>
      </c>
      <c r="C26" s="14">
        <v>0.26889999999999997</v>
      </c>
    </row>
    <row r="27" spans="2:3">
      <c r="B27" s="33">
        <v>2022</v>
      </c>
      <c r="C27" s="14">
        <v>-0.19439999999999999</v>
      </c>
    </row>
    <row r="28" spans="2:3">
      <c r="B28" s="33">
        <v>2023</v>
      </c>
      <c r="C28" s="14">
        <v>0.24229999999999999</v>
      </c>
    </row>
    <row r="29" spans="2:3">
      <c r="B29" s="33">
        <v>2024</v>
      </c>
      <c r="C29" s="14">
        <v>0.1457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5B7B-C668-4751-B269-60A6246385E1}">
  <sheetPr>
    <pageSetUpPr fitToPage="1"/>
  </sheetPr>
  <dimension ref="A2:J47"/>
  <sheetViews>
    <sheetView showGridLines="0" zoomScale="88" zoomScaleNormal="75" workbookViewId="0">
      <selection activeCell="T15" sqref="T15"/>
    </sheetView>
  </sheetViews>
  <sheetFormatPr baseColWidth="10" defaultColWidth="8.83203125" defaultRowHeight="15"/>
  <cols>
    <col min="1" max="1" width="1.83203125" customWidth="1"/>
    <col min="2" max="2" width="19.83203125" customWidth="1"/>
    <col min="3" max="3" width="10.33203125" bestFit="1" customWidth="1"/>
    <col min="4" max="4" width="10.1640625" bestFit="1" customWidth="1"/>
    <col min="5" max="5" width="11.5" bestFit="1" customWidth="1"/>
    <col min="6" max="6" width="10.83203125" customWidth="1"/>
    <col min="7" max="9" width="9.33203125" customWidth="1"/>
    <col min="10" max="10" width="10.33203125" bestFit="1" customWidth="1"/>
    <col min="14" max="14" width="16.5" bestFit="1" customWidth="1"/>
    <col min="15" max="15" width="9.83203125" bestFit="1" customWidth="1"/>
    <col min="16" max="16" width="6.5" bestFit="1" customWidth="1"/>
  </cols>
  <sheetData>
    <row r="2" spans="2:10" ht="19">
      <c r="B2" s="4" t="s">
        <v>0</v>
      </c>
      <c r="C2" s="5"/>
      <c r="D2" s="5"/>
      <c r="E2" s="5"/>
      <c r="F2" s="6"/>
      <c r="G2" s="6"/>
      <c r="H2" s="6"/>
      <c r="I2" s="6"/>
      <c r="J2" s="6"/>
    </row>
    <row r="4" spans="2:10">
      <c r="B4" s="29" t="s">
        <v>493</v>
      </c>
    </row>
    <row r="5" spans="2:10">
      <c r="B5" s="29" t="s">
        <v>527</v>
      </c>
    </row>
    <row r="7" spans="2:10">
      <c r="B7" s="1" t="s">
        <v>1</v>
      </c>
    </row>
    <row r="8" spans="2:10" ht="13.5" customHeight="1">
      <c r="B8" s="2"/>
      <c r="C8" s="2"/>
      <c r="D8" s="2"/>
      <c r="E8" s="2"/>
      <c r="F8" s="10"/>
      <c r="G8" s="10" t="s">
        <v>6</v>
      </c>
      <c r="H8" s="10" t="s">
        <v>6</v>
      </c>
    </row>
    <row r="9" spans="2:10" ht="18.75" customHeight="1">
      <c r="B9" s="3" t="s">
        <v>2</v>
      </c>
      <c r="C9" s="3"/>
      <c r="D9" s="11" t="s">
        <v>3</v>
      </c>
      <c r="E9" s="11" t="s">
        <v>4</v>
      </c>
      <c r="F9" s="11" t="s">
        <v>8</v>
      </c>
      <c r="G9" s="11" t="s">
        <v>7</v>
      </c>
      <c r="H9" s="11" t="s">
        <v>9</v>
      </c>
    </row>
    <row r="10" spans="2:10">
      <c r="B10" s="7"/>
      <c r="C10" s="7"/>
      <c r="D10" s="7"/>
      <c r="E10" s="7"/>
      <c r="F10" s="7"/>
      <c r="G10" s="7"/>
      <c r="H10" s="7"/>
    </row>
    <row r="11" spans="2:10">
      <c r="B11" s="9" t="s">
        <v>230</v>
      </c>
      <c r="C11" s="9"/>
      <c r="D11" s="32">
        <v>8927</v>
      </c>
      <c r="E11" s="32">
        <v>14004</v>
      </c>
      <c r="F11" s="13">
        <v>0.21</v>
      </c>
      <c r="G11" s="19">
        <f>D11/E11</f>
        <v>0.63746072550699795</v>
      </c>
      <c r="H11" s="19">
        <f>D11/(D11+E11)</f>
        <v>0.38929832977192447</v>
      </c>
    </row>
    <row r="12" spans="2:10">
      <c r="B12" s="9" t="s">
        <v>231</v>
      </c>
      <c r="C12" s="9"/>
      <c r="D12" s="32">
        <v>2598.2800000000002</v>
      </c>
      <c r="E12" s="32">
        <v>4897.16</v>
      </c>
      <c r="F12" s="13">
        <v>0.21</v>
      </c>
      <c r="G12" s="19">
        <f t="shared" ref="G12:G18" si="0">D12/E12</f>
        <v>0.53056873779905089</v>
      </c>
      <c r="H12" s="19">
        <f t="shared" ref="H12:H18" si="1">D12/(D12+E12)</f>
        <v>0.34664809537532154</v>
      </c>
    </row>
    <row r="13" spans="2:10">
      <c r="B13" s="9" t="s">
        <v>232</v>
      </c>
      <c r="C13" s="9"/>
      <c r="D13" s="32">
        <v>594.87300000000005</v>
      </c>
      <c r="E13" s="32">
        <v>2153</v>
      </c>
      <c r="F13" s="13">
        <v>0.21</v>
      </c>
      <c r="G13" s="19">
        <f t="shared" si="0"/>
        <v>0.27629958197863447</v>
      </c>
      <c r="H13" s="19">
        <f t="shared" si="1"/>
        <v>0.21648489577211175</v>
      </c>
    </row>
    <row r="14" spans="2:10">
      <c r="B14" s="9" t="s">
        <v>233</v>
      </c>
      <c r="C14" s="9"/>
      <c r="D14" s="32">
        <v>242.94399999999999</v>
      </c>
      <c r="E14" s="32">
        <v>4400.0420000000004</v>
      </c>
      <c r="F14" s="13">
        <v>0.21</v>
      </c>
      <c r="G14" s="19">
        <f t="shared" si="0"/>
        <v>5.5214018411642425E-2</v>
      </c>
      <c r="H14" s="19">
        <f t="shared" si="1"/>
        <v>5.2324947781449256E-2</v>
      </c>
    </row>
    <row r="15" spans="2:10">
      <c r="B15" s="9" t="s">
        <v>234</v>
      </c>
      <c r="C15" s="9"/>
      <c r="D15" s="32">
        <v>233.85686596000002</v>
      </c>
      <c r="E15" s="32">
        <v>2956.69</v>
      </c>
      <c r="F15" s="13">
        <v>0.21</v>
      </c>
      <c r="G15" s="19">
        <f t="shared" si="0"/>
        <v>7.9094144452073106E-2</v>
      </c>
      <c r="H15" s="19">
        <f t="shared" si="1"/>
        <v>7.3296797002113639E-2</v>
      </c>
    </row>
    <row r="16" spans="2:10">
      <c r="B16" s="9" t="s">
        <v>235</v>
      </c>
      <c r="D16" s="9">
        <v>350</v>
      </c>
      <c r="E16" s="32">
        <v>3126.9917804400002</v>
      </c>
      <c r="F16" s="13">
        <v>0.21</v>
      </c>
      <c r="G16" s="19">
        <f t="shared" si="0"/>
        <v>0.11192866005895014</v>
      </c>
      <c r="H16" s="19">
        <f t="shared" si="1"/>
        <v>0.10066172775240464</v>
      </c>
    </row>
    <row r="17" spans="2:10">
      <c r="B17" s="9" t="s">
        <v>236</v>
      </c>
      <c r="D17" s="9">
        <v>15.61</v>
      </c>
      <c r="E17" s="32">
        <v>1136.83</v>
      </c>
      <c r="F17" s="13">
        <v>0.21</v>
      </c>
      <c r="G17" s="19">
        <f t="shared" si="0"/>
        <v>1.373116472999481E-2</v>
      </c>
      <c r="H17" s="19">
        <f t="shared" si="1"/>
        <v>1.3545173718371457E-2</v>
      </c>
    </row>
    <row r="18" spans="2:10">
      <c r="B18" s="9" t="s">
        <v>237</v>
      </c>
      <c r="D18" s="9">
        <v>4702.2839999999997</v>
      </c>
      <c r="E18" s="32">
        <v>1658.365</v>
      </c>
      <c r="F18" s="13">
        <v>0.21</v>
      </c>
      <c r="G18" s="19">
        <f t="shared" si="0"/>
        <v>2.835493995592044</v>
      </c>
      <c r="H18" s="19">
        <f t="shared" si="1"/>
        <v>0.73927739134795833</v>
      </c>
    </row>
    <row r="19" spans="2:10">
      <c r="B19" s="9"/>
      <c r="E19" s="15" t="s">
        <v>5</v>
      </c>
      <c r="F19" s="16">
        <f>AVERAGE(F11:F18)</f>
        <v>0.21</v>
      </c>
      <c r="G19" s="16">
        <f>AVERAGE(G11:G18)</f>
        <v>0.56747387856617348</v>
      </c>
      <c r="H19" s="16">
        <f>AVERAGE(H11:H18)</f>
        <v>0.24144216981520689</v>
      </c>
    </row>
    <row r="20" spans="2:10">
      <c r="B20" s="9"/>
      <c r="E20" s="17" t="s">
        <v>10</v>
      </c>
      <c r="F20" s="18">
        <f>MEDIAN(F11:F18)</f>
        <v>0.21</v>
      </c>
      <c r="G20" s="18">
        <f>MEDIAN(G11:G18)</f>
        <v>0.1941141210187923</v>
      </c>
      <c r="H20" s="18">
        <f>MEDIAN(H11:H18)</f>
        <v>0.1585733117622582</v>
      </c>
    </row>
    <row r="21" spans="2:10">
      <c r="B21" s="9"/>
      <c r="E21" s="1"/>
      <c r="F21" s="28"/>
      <c r="G21" s="28"/>
      <c r="H21" s="28"/>
    </row>
    <row r="22" spans="2:10">
      <c r="B22" s="103" t="s">
        <v>238</v>
      </c>
      <c r="E22" s="1"/>
      <c r="F22" s="28"/>
      <c r="G22" s="28"/>
      <c r="H22" s="28"/>
      <c r="I22" s="8"/>
      <c r="J22" s="8"/>
    </row>
    <row r="23" spans="2:10">
      <c r="B23" s="9"/>
      <c r="G23" s="8"/>
    </row>
    <row r="24" spans="2:10">
      <c r="B24" s="17" t="s">
        <v>20</v>
      </c>
      <c r="C24" s="20"/>
      <c r="D24" s="20"/>
      <c r="E24" s="20"/>
      <c r="G24" s="17" t="s">
        <v>16</v>
      </c>
      <c r="H24" s="20"/>
      <c r="I24" s="20"/>
      <c r="J24" s="20"/>
    </row>
    <row r="25" spans="2:10">
      <c r="B25" s="8"/>
      <c r="G25" s="8"/>
    </row>
    <row r="26" spans="2:10">
      <c r="B26" t="s">
        <v>21</v>
      </c>
      <c r="E26" s="42">
        <v>6.1400000000000003E-2</v>
      </c>
      <c r="G26" t="s">
        <v>17</v>
      </c>
      <c r="J26" s="48">
        <v>4.2599999999999999E-2</v>
      </c>
    </row>
    <row r="27" spans="2:10">
      <c r="B27" t="s">
        <v>22</v>
      </c>
      <c r="E27" s="14">
        <f>F17</f>
        <v>0.21</v>
      </c>
      <c r="G27" t="s">
        <v>18</v>
      </c>
      <c r="J27" s="48">
        <v>4.5699999999999998E-2</v>
      </c>
    </row>
    <row r="28" spans="2:10" ht="15.75" customHeight="1">
      <c r="B28" s="22" t="s">
        <v>23</v>
      </c>
      <c r="C28" s="22"/>
      <c r="D28" s="22"/>
      <c r="E28" s="26">
        <f>E26*(1-E27)</f>
        <v>4.8506000000000007E-2</v>
      </c>
      <c r="G28" t="s">
        <v>24</v>
      </c>
      <c r="J28" s="192">
        <v>0.81</v>
      </c>
    </row>
    <row r="29" spans="2:10">
      <c r="G29" s="22" t="s">
        <v>16</v>
      </c>
      <c r="H29" s="22"/>
      <c r="I29" s="22"/>
      <c r="J29" s="50">
        <f>J26+(J27*J28)</f>
        <v>7.9616999999999993E-2</v>
      </c>
    </row>
    <row r="32" spans="2:10">
      <c r="B32" s="17" t="s">
        <v>11</v>
      </c>
      <c r="C32" s="20"/>
      <c r="D32" s="20"/>
      <c r="E32" s="20"/>
    </row>
    <row r="34" spans="1:10">
      <c r="D34" s="21" t="s">
        <v>14</v>
      </c>
      <c r="E34" s="21" t="s">
        <v>15</v>
      </c>
    </row>
    <row r="35" spans="1:10">
      <c r="B35" t="s">
        <v>3</v>
      </c>
      <c r="C35" s="32">
        <f>D11</f>
        <v>8927</v>
      </c>
      <c r="D35" s="12">
        <f>C35/$C$37</f>
        <v>0.38929832977192447</v>
      </c>
      <c r="E35" s="27">
        <v>0.38</v>
      </c>
    </row>
    <row r="36" spans="1:10">
      <c r="B36" t="s">
        <v>12</v>
      </c>
      <c r="C36" s="32">
        <f>E11</f>
        <v>14004</v>
      </c>
      <c r="D36" s="12">
        <f>C36/$C$37</f>
        <v>0.61070167022807553</v>
      </c>
      <c r="E36" s="14">
        <f>E37-E35</f>
        <v>0.62</v>
      </c>
    </row>
    <row r="37" spans="1:10">
      <c r="B37" t="s">
        <v>13</v>
      </c>
      <c r="C37" s="22">
        <f>SUM(C35:C36)</f>
        <v>22931</v>
      </c>
      <c r="D37" s="23">
        <f>C37/$C$37</f>
        <v>1</v>
      </c>
      <c r="E37" s="24">
        <f>D37</f>
        <v>1</v>
      </c>
    </row>
    <row r="39" spans="1:10">
      <c r="B39" t="s">
        <v>19</v>
      </c>
      <c r="D39" s="25">
        <f>D35/D36</f>
        <v>0.63746072550699795</v>
      </c>
      <c r="E39" s="25">
        <f>E35/E36</f>
        <v>0.61290322580645162</v>
      </c>
      <c r="G39" s="17" t="s">
        <v>0</v>
      </c>
      <c r="H39" s="20"/>
      <c r="I39" s="20"/>
      <c r="J39" s="20"/>
    </row>
    <row r="40" spans="1:10">
      <c r="G40" s="8"/>
    </row>
    <row r="41" spans="1:10">
      <c r="B41" s="30" t="s">
        <v>25</v>
      </c>
      <c r="G41" t="s">
        <v>16</v>
      </c>
      <c r="J41" s="51">
        <f>J29</f>
        <v>7.9616999999999993E-2</v>
      </c>
    </row>
    <row r="42" spans="1:10">
      <c r="B42" s="30" t="s">
        <v>26</v>
      </c>
      <c r="G42" t="s">
        <v>70</v>
      </c>
      <c r="J42" s="14">
        <f>E36</f>
        <v>0.62</v>
      </c>
    </row>
    <row r="43" spans="1:10">
      <c r="A43" t="s">
        <v>27</v>
      </c>
      <c r="B43" s="30" t="s">
        <v>28</v>
      </c>
      <c r="J43" s="51"/>
    </row>
    <row r="44" spans="1:10">
      <c r="B44" s="30" t="s">
        <v>29</v>
      </c>
      <c r="G44" t="s">
        <v>20</v>
      </c>
      <c r="J44" s="14">
        <f>E28</f>
        <v>4.8506000000000007E-2</v>
      </c>
    </row>
    <row r="45" spans="1:10">
      <c r="G45" t="s">
        <v>71</v>
      </c>
      <c r="J45" s="14">
        <f>E35</f>
        <v>0.38</v>
      </c>
    </row>
    <row r="47" spans="1:10">
      <c r="G47" s="52" t="s">
        <v>72</v>
      </c>
      <c r="H47" s="52"/>
      <c r="I47" s="52"/>
      <c r="J47" s="53">
        <f>(J41*J42)+(J44*J45)</f>
        <v>6.7794820000000006E-2</v>
      </c>
    </row>
  </sheetData>
  <pageMargins left="0.7" right="0.7" top="0.75" bottom="0.75" header="0.3" footer="0.3"/>
  <pageSetup paperSize="8" orientation="portrait" r:id="rId1"/>
  <customProperties>
    <customPr name="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E036-95A2-49CD-911E-0470A328F88B}">
  <dimension ref="A1:M64"/>
  <sheetViews>
    <sheetView showGridLines="0" zoomScale="139" zoomScaleNormal="85" workbookViewId="0">
      <selection activeCell="B1" sqref="B1:B2"/>
    </sheetView>
  </sheetViews>
  <sheetFormatPr baseColWidth="10" defaultColWidth="8.83203125" defaultRowHeight="15"/>
  <cols>
    <col min="1" max="1" width="2" customWidth="1"/>
    <col min="7" max="7" width="11.5" bestFit="1" customWidth="1"/>
    <col min="8" max="8" width="9.83203125" bestFit="1" customWidth="1"/>
    <col min="9" max="9" width="12.1640625" bestFit="1" customWidth="1"/>
    <col min="10" max="10" width="14.33203125" bestFit="1" customWidth="1"/>
    <col min="11" max="11" width="10.1640625" bestFit="1" customWidth="1"/>
    <col min="13" max="13" width="21" bestFit="1" customWidth="1"/>
  </cols>
  <sheetData>
    <row r="1" spans="2:11">
      <c r="B1" s="29" t="s">
        <v>689</v>
      </c>
    </row>
    <row r="2" spans="2:11">
      <c r="B2" s="29" t="s">
        <v>690</v>
      </c>
    </row>
    <row r="3" spans="2:11">
      <c r="B3" s="29"/>
    </row>
    <row r="4" spans="2:11">
      <c r="B4" s="43" t="s">
        <v>166</v>
      </c>
      <c r="C4" s="44"/>
      <c r="D4" s="44"/>
      <c r="E4" s="44"/>
      <c r="F4" s="44"/>
      <c r="G4" s="67">
        <f>'Data Sheet_NKE'!O28</f>
        <v>43586</v>
      </c>
      <c r="H4" s="67">
        <f>'Data Sheet_NKE'!P28</f>
        <v>43952</v>
      </c>
      <c r="I4" s="67">
        <f>'Data Sheet_NKE'!Q28</f>
        <v>44317</v>
      </c>
      <c r="J4" s="67">
        <f>'Data Sheet_NKE'!R28</f>
        <v>44682</v>
      </c>
      <c r="K4" s="67">
        <f>'Data Sheet_NKE'!S28</f>
        <v>45047</v>
      </c>
    </row>
    <row r="6" spans="2:11">
      <c r="B6" s="1" t="s">
        <v>167</v>
      </c>
    </row>
    <row r="7" spans="2:11">
      <c r="B7" s="71" t="str">
        <f>'Data Sheet_ADS'!B35</f>
        <v>Inventories</v>
      </c>
      <c r="C7" s="71"/>
      <c r="D7" s="71"/>
      <c r="E7" s="71"/>
      <c r="F7" s="71"/>
      <c r="G7" s="142">
        <f>'Data Sheet_NKE'!O36</f>
        <v>5622</v>
      </c>
      <c r="H7" s="142">
        <v>7367</v>
      </c>
      <c r="I7" s="142">
        <v>6854</v>
      </c>
      <c r="J7" s="142">
        <v>8420</v>
      </c>
      <c r="K7" s="142">
        <v>8454</v>
      </c>
    </row>
    <row r="8" spans="2:11">
      <c r="B8" s="71" t="str">
        <f>'Data Sheet_ADS'!B36</f>
        <v>Trade receivables</v>
      </c>
      <c r="C8" s="71"/>
      <c r="D8" s="71"/>
      <c r="E8" s="71"/>
      <c r="F8" s="71"/>
      <c r="G8" s="142">
        <v>4272</v>
      </c>
      <c r="H8" s="142">
        <v>2749</v>
      </c>
      <c r="I8" s="142">
        <v>4463</v>
      </c>
      <c r="J8" s="142">
        <v>4667</v>
      </c>
      <c r="K8" s="142">
        <v>4131</v>
      </c>
    </row>
    <row r="9" spans="2:11">
      <c r="B9" s="71" t="s">
        <v>161</v>
      </c>
      <c r="C9" s="71"/>
      <c r="D9" s="71"/>
      <c r="E9" s="71"/>
      <c r="F9" s="71"/>
      <c r="G9" s="142">
        <v>4466</v>
      </c>
      <c r="H9" s="142">
        <v>8348</v>
      </c>
      <c r="I9" s="142">
        <v>9889</v>
      </c>
      <c r="J9" s="142">
        <v>8574</v>
      </c>
      <c r="K9" s="142">
        <v>7441</v>
      </c>
    </row>
    <row r="10" spans="2:11">
      <c r="B10" s="71" t="s">
        <v>302</v>
      </c>
      <c r="C10" s="71"/>
      <c r="D10" s="71"/>
      <c r="E10" s="71"/>
      <c r="F10" s="71"/>
      <c r="G10" s="142">
        <v>197</v>
      </c>
      <c r="H10" s="142">
        <v>439</v>
      </c>
      <c r="I10" s="142">
        <v>3587</v>
      </c>
      <c r="J10" s="142">
        <v>4423</v>
      </c>
      <c r="K10" s="142">
        <v>3234</v>
      </c>
    </row>
    <row r="11" spans="2:11">
      <c r="B11" t="str">
        <f>'Data Sheet_ADS'!B39</f>
        <v>Other asset items</v>
      </c>
      <c r="G11" s="142">
        <v>1968</v>
      </c>
      <c r="H11" s="142">
        <v>1653</v>
      </c>
      <c r="I11" s="142">
        <v>1498</v>
      </c>
      <c r="J11" s="142">
        <v>2129</v>
      </c>
      <c r="K11" s="142">
        <v>1942</v>
      </c>
    </row>
    <row r="12" spans="2:11">
      <c r="B12" s="75" t="s">
        <v>93</v>
      </c>
      <c r="C12" s="2"/>
      <c r="D12" s="2"/>
      <c r="E12" s="2"/>
      <c r="F12" s="2"/>
      <c r="G12" s="91">
        <f>SUM(G7:G11)</f>
        <v>16525</v>
      </c>
      <c r="H12" s="91">
        <f>SUM(H7:H11)</f>
        <v>20556</v>
      </c>
      <c r="I12" s="91">
        <f>SUM(I7:I11)</f>
        <v>26291</v>
      </c>
      <c r="J12" s="91">
        <f>SUM(J7:J11)</f>
        <v>28213</v>
      </c>
      <c r="K12" s="91">
        <f>SUM(K7:K11)</f>
        <v>25202</v>
      </c>
    </row>
    <row r="13" spans="2:11">
      <c r="G13" s="73"/>
      <c r="H13" s="73"/>
      <c r="I13" s="73"/>
      <c r="J13" s="73"/>
      <c r="K13" s="73"/>
    </row>
    <row r="14" spans="2:11">
      <c r="B14" s="1" t="s">
        <v>168</v>
      </c>
      <c r="G14" s="73"/>
      <c r="H14" s="73"/>
      <c r="I14" s="73"/>
      <c r="J14" s="73"/>
      <c r="K14" s="73"/>
    </row>
    <row r="15" spans="2:11">
      <c r="B15" s="143" t="s">
        <v>418</v>
      </c>
      <c r="C15" s="142"/>
      <c r="D15" s="142"/>
      <c r="E15" s="142"/>
      <c r="F15" s="142"/>
      <c r="G15" s="142">
        <v>2612</v>
      </c>
      <c r="H15" s="142">
        <v>2248</v>
      </c>
      <c r="I15" s="142">
        <v>2836</v>
      </c>
      <c r="J15" s="142">
        <v>3358</v>
      </c>
      <c r="K15" s="142">
        <v>2862</v>
      </c>
    </row>
    <row r="16" spans="2:11">
      <c r="B16" s="143" t="s">
        <v>357</v>
      </c>
      <c r="C16" s="142"/>
      <c r="D16" s="142"/>
      <c r="E16" s="142"/>
      <c r="F16" s="142"/>
      <c r="G16" s="142">
        <v>4271</v>
      </c>
      <c r="H16" s="142">
        <v>4504</v>
      </c>
      <c r="I16" s="142">
        <v>6172</v>
      </c>
      <c r="J16" s="142">
        <v>6243</v>
      </c>
      <c r="K16" s="142">
        <v>5619</v>
      </c>
    </row>
    <row r="17" spans="1:11">
      <c r="B17" s="143" t="s">
        <v>364</v>
      </c>
      <c r="C17" s="142"/>
      <c r="D17" s="142"/>
      <c r="E17" s="142"/>
      <c r="F17" s="142"/>
      <c r="G17" s="142">
        <v>9</v>
      </c>
      <c r="H17" s="142">
        <v>248</v>
      </c>
      <c r="I17" s="142">
        <v>2</v>
      </c>
      <c r="J17" s="142">
        <v>10</v>
      </c>
      <c r="K17" s="142">
        <v>6</v>
      </c>
    </row>
    <row r="18" spans="1:11">
      <c r="B18" s="143" t="s">
        <v>365</v>
      </c>
      <c r="C18" s="142"/>
      <c r="D18" s="142"/>
      <c r="E18" s="142"/>
      <c r="F18" s="142"/>
      <c r="G18" s="142">
        <v>6</v>
      </c>
      <c r="H18" s="142">
        <v>3</v>
      </c>
      <c r="I18" s="142">
        <v>0</v>
      </c>
      <c r="J18" s="142">
        <v>500</v>
      </c>
      <c r="K18" s="142">
        <v>0</v>
      </c>
    </row>
    <row r="19" spans="1:11">
      <c r="B19" s="143" t="s">
        <v>366</v>
      </c>
      <c r="C19" s="142"/>
      <c r="D19" s="142"/>
      <c r="E19" s="142"/>
      <c r="F19" s="142"/>
      <c r="G19" s="142">
        <v>968</v>
      </c>
      <c r="H19" s="142">
        <v>1281</v>
      </c>
      <c r="I19" s="142">
        <v>664</v>
      </c>
      <c r="J19" s="142">
        <v>619</v>
      </c>
      <c r="K19" s="142">
        <v>769</v>
      </c>
    </row>
    <row r="20" spans="1:11">
      <c r="B20" s="75" t="s">
        <v>169</v>
      </c>
      <c r="C20" s="2"/>
      <c r="D20" s="2"/>
      <c r="E20" s="2"/>
      <c r="F20" s="2"/>
      <c r="G20" s="91">
        <f>SUM(G15:G19)</f>
        <v>7866</v>
      </c>
      <c r="H20" s="91">
        <f t="shared" ref="H20:K20" si="0">SUM(H15:H19)</f>
        <v>8284</v>
      </c>
      <c r="I20" s="91">
        <f t="shared" si="0"/>
        <v>9674</v>
      </c>
      <c r="J20" s="91">
        <f t="shared" si="0"/>
        <v>10730</v>
      </c>
      <c r="K20" s="91">
        <f t="shared" si="0"/>
        <v>9256</v>
      </c>
    </row>
    <row r="21" spans="1:11">
      <c r="B21" s="122"/>
      <c r="C21" s="126"/>
      <c r="D21" s="126"/>
      <c r="E21" s="126"/>
      <c r="F21" s="126"/>
      <c r="G21" s="126"/>
      <c r="H21" s="73"/>
      <c r="I21" s="73"/>
      <c r="J21" s="73"/>
      <c r="K21" s="73"/>
    </row>
    <row r="22" spans="1:11" ht="16" thickBot="1">
      <c r="A22" t="s">
        <v>73</v>
      </c>
      <c r="B22" s="79" t="s">
        <v>170</v>
      </c>
      <c r="C22" s="79"/>
      <c r="D22" s="79"/>
      <c r="E22" s="79"/>
      <c r="F22" s="79"/>
      <c r="G22" s="92">
        <f>G12-G20</f>
        <v>8659</v>
      </c>
      <c r="H22" s="92">
        <f t="shared" ref="H22:K22" si="1">H12-H20</f>
        <v>12272</v>
      </c>
      <c r="I22" s="92">
        <f t="shared" si="1"/>
        <v>16617</v>
      </c>
      <c r="J22" s="92">
        <f t="shared" si="1"/>
        <v>17483</v>
      </c>
      <c r="K22" s="92">
        <f t="shared" si="1"/>
        <v>15946</v>
      </c>
    </row>
    <row r="23" spans="1:11">
      <c r="G23" s="73"/>
      <c r="H23" s="73"/>
      <c r="I23" s="73"/>
      <c r="J23" s="73"/>
      <c r="K23" s="73"/>
    </row>
    <row r="24" spans="1:11">
      <c r="B24" s="1" t="s">
        <v>171</v>
      </c>
      <c r="G24" s="73"/>
      <c r="H24" s="73"/>
      <c r="I24" s="73"/>
      <c r="J24" s="73"/>
      <c r="K24" s="73"/>
    </row>
    <row r="25" spans="1:11">
      <c r="B25" s="144" t="s">
        <v>336</v>
      </c>
      <c r="C25" s="145"/>
      <c r="D25" s="145"/>
      <c r="E25" s="145"/>
      <c r="F25" s="145"/>
      <c r="G25" s="146">
        <v>4744</v>
      </c>
      <c r="H25" s="146">
        <v>7963</v>
      </c>
      <c r="I25" s="146">
        <v>8017</v>
      </c>
      <c r="J25" s="146">
        <v>7717</v>
      </c>
      <c r="K25" s="146">
        <v>8004</v>
      </c>
    </row>
    <row r="26" spans="1:11">
      <c r="B26" s="144" t="s">
        <v>156</v>
      </c>
      <c r="C26" s="145"/>
      <c r="D26" s="145"/>
      <c r="E26" s="145"/>
      <c r="F26" s="145"/>
      <c r="G26" s="146">
        <v>4725</v>
      </c>
      <c r="H26" s="146">
        <v>4795</v>
      </c>
      <c r="I26" s="146">
        <v>5157</v>
      </c>
      <c r="J26" s="146">
        <v>5306</v>
      </c>
      <c r="K26" s="146">
        <v>5634</v>
      </c>
    </row>
    <row r="27" spans="1:11">
      <c r="B27" s="144" t="s">
        <v>153</v>
      </c>
      <c r="C27" s="146"/>
      <c r="D27" s="146"/>
      <c r="E27" s="146"/>
      <c r="F27" s="146"/>
      <c r="G27" s="146">
        <v>283</v>
      </c>
      <c r="H27" s="146">
        <v>274</v>
      </c>
      <c r="I27" s="146">
        <v>269</v>
      </c>
      <c r="J27" s="146">
        <v>286</v>
      </c>
      <c r="K27" s="146">
        <v>274</v>
      </c>
    </row>
    <row r="28" spans="1:11">
      <c r="B28" s="144" t="s">
        <v>341</v>
      </c>
      <c r="C28" s="146"/>
      <c r="D28" s="146"/>
      <c r="E28" s="146"/>
      <c r="F28" s="146"/>
      <c r="G28" s="146">
        <v>154</v>
      </c>
      <c r="H28" s="146">
        <v>223</v>
      </c>
      <c r="I28" s="146">
        <v>242</v>
      </c>
      <c r="J28" s="146">
        <v>284</v>
      </c>
      <c r="K28" s="146">
        <v>281</v>
      </c>
    </row>
    <row r="29" spans="1:11">
      <c r="B29" s="144" t="s">
        <v>342</v>
      </c>
      <c r="C29" s="146"/>
      <c r="D29" s="146"/>
      <c r="E29" s="146"/>
      <c r="F29" s="146"/>
      <c r="G29" s="146">
        <v>2011</v>
      </c>
      <c r="H29" s="146">
        <v>2326</v>
      </c>
      <c r="I29" s="146">
        <v>2921</v>
      </c>
      <c r="J29" s="146">
        <v>3821</v>
      </c>
      <c r="K29" s="146">
        <v>3770</v>
      </c>
    </row>
    <row r="30" spans="1:11">
      <c r="B30" s="144" t="s">
        <v>89</v>
      </c>
      <c r="C30" s="146"/>
      <c r="D30" s="146"/>
      <c r="E30" s="146"/>
      <c r="F30" s="146"/>
      <c r="G30" s="146">
        <v>154</v>
      </c>
      <c r="H30" s="146">
        <v>223</v>
      </c>
      <c r="I30" s="146">
        <v>242</v>
      </c>
      <c r="J30" s="146">
        <v>284</v>
      </c>
      <c r="K30" s="146">
        <v>281</v>
      </c>
    </row>
    <row r="31" spans="1:11">
      <c r="B31" s="71" t="str">
        <f>'Data Sheet_ADS'!B26</f>
        <v>Other fixed assets</v>
      </c>
      <c r="C31" s="71"/>
      <c r="D31" s="71"/>
      <c r="E31" s="71"/>
      <c r="F31" s="71"/>
      <c r="G31" s="72">
        <f>'Data Sheet_ADS'!J26</f>
        <v>238</v>
      </c>
      <c r="H31" s="72">
        <f>'Data Sheet_ADS'!K26</f>
        <v>261</v>
      </c>
      <c r="I31" s="72">
        <f>'Data Sheet_ADS'!L26</f>
        <v>293</v>
      </c>
      <c r="J31" s="72">
        <f>'Data Sheet_ADS'!M26</f>
        <v>302</v>
      </c>
      <c r="K31" s="72">
        <f>'Data Sheet_ADS'!N26</f>
        <v>294</v>
      </c>
    </row>
    <row r="32" spans="1:11" ht="16" thickBot="1">
      <c r="A32" t="s">
        <v>73</v>
      </c>
      <c r="B32" s="79" t="s">
        <v>172</v>
      </c>
      <c r="C32" s="79"/>
      <c r="D32" s="79"/>
      <c r="E32" s="79"/>
      <c r="F32" s="79"/>
      <c r="G32" s="92">
        <f>SUM(G25:G31)</f>
        <v>12309</v>
      </c>
      <c r="H32" s="92">
        <f>SUM(H25:H31)</f>
        <v>16065</v>
      </c>
      <c r="I32" s="92">
        <f>SUM(I25:I31)</f>
        <v>17141</v>
      </c>
      <c r="J32" s="92">
        <f>SUM(J25:J31)</f>
        <v>18000</v>
      </c>
      <c r="K32" s="92">
        <f>SUM(K25:K31)</f>
        <v>18538</v>
      </c>
    </row>
    <row r="33" spans="1:11">
      <c r="G33" s="73"/>
      <c r="H33" s="73"/>
      <c r="I33" s="73"/>
      <c r="J33" s="73"/>
      <c r="K33" s="73"/>
    </row>
    <row r="34" spans="1:11">
      <c r="A34" t="s">
        <v>73</v>
      </c>
      <c r="B34" s="1" t="s">
        <v>173</v>
      </c>
      <c r="C34" s="1"/>
      <c r="D34" s="1"/>
      <c r="E34" s="1"/>
      <c r="F34" s="1"/>
      <c r="G34" s="74">
        <f>G32+G22</f>
        <v>20968</v>
      </c>
      <c r="H34" s="74">
        <f t="shared" ref="H34:K34" si="2">H32+H22</f>
        <v>28337</v>
      </c>
      <c r="I34" s="74">
        <f t="shared" si="2"/>
        <v>33758</v>
      </c>
      <c r="J34" s="74">
        <f t="shared" si="2"/>
        <v>35483</v>
      </c>
      <c r="K34" s="74">
        <f t="shared" si="2"/>
        <v>34484</v>
      </c>
    </row>
    <row r="35" spans="1:11">
      <c r="B35" s="1" t="s">
        <v>174</v>
      </c>
      <c r="C35" s="1"/>
      <c r="D35" s="1"/>
      <c r="E35" s="1"/>
      <c r="F35" s="1"/>
      <c r="G35" s="139">
        <v>4677</v>
      </c>
      <c r="H35" s="139">
        <v>2901</v>
      </c>
      <c r="I35" s="139">
        <v>6923</v>
      </c>
      <c r="J35" s="139">
        <v>6856</v>
      </c>
      <c r="K35" s="139">
        <v>6207</v>
      </c>
    </row>
    <row r="37" spans="1:11" ht="16" thickBot="1">
      <c r="A37" t="s">
        <v>73</v>
      </c>
      <c r="B37" s="79" t="s">
        <v>165</v>
      </c>
      <c r="C37" s="80"/>
      <c r="D37" s="80"/>
      <c r="E37" s="80"/>
      <c r="F37" s="80"/>
      <c r="G37" s="81">
        <f>G35/G34</f>
        <v>0.22305417779473483</v>
      </c>
      <c r="H37" s="81">
        <f t="shared" ref="H37:K37" si="3">H35/H34</f>
        <v>0.10237498676641846</v>
      </c>
      <c r="I37" s="81">
        <f t="shared" si="3"/>
        <v>0.2050773150068132</v>
      </c>
      <c r="J37" s="81">
        <f t="shared" si="3"/>
        <v>0.19321928810979905</v>
      </c>
      <c r="K37" s="81">
        <f t="shared" si="3"/>
        <v>0.17999652012527548</v>
      </c>
    </row>
    <row r="40" spans="1:11">
      <c r="A40" t="s">
        <v>73</v>
      </c>
      <c r="B40" s="43" t="s">
        <v>175</v>
      </c>
      <c r="C40" s="44"/>
      <c r="D40" s="44"/>
      <c r="E40" s="44"/>
      <c r="F40" s="44"/>
      <c r="G40" s="67">
        <f>G4</f>
        <v>43586</v>
      </c>
      <c r="H40" s="67">
        <f t="shared" ref="H40:K40" si="4">H4</f>
        <v>43952</v>
      </c>
      <c r="I40" s="67">
        <f t="shared" si="4"/>
        <v>44317</v>
      </c>
      <c r="J40" s="67">
        <f t="shared" si="4"/>
        <v>44682</v>
      </c>
      <c r="K40" s="67">
        <f t="shared" si="4"/>
        <v>45047</v>
      </c>
    </row>
    <row r="42" spans="1:11">
      <c r="B42" s="71" t="s">
        <v>176</v>
      </c>
      <c r="C42" s="71"/>
      <c r="D42" s="71"/>
      <c r="E42" s="71"/>
      <c r="F42" s="71"/>
      <c r="G42" s="72">
        <v>1119</v>
      </c>
      <c r="H42" s="72">
        <v>1086</v>
      </c>
      <c r="I42" s="72">
        <v>695</v>
      </c>
      <c r="J42" s="72">
        <v>758</v>
      </c>
      <c r="K42" s="72">
        <v>969</v>
      </c>
    </row>
    <row r="43" spans="1:11">
      <c r="B43" s="71" t="s">
        <v>201</v>
      </c>
      <c r="C43" s="71"/>
      <c r="D43" s="71"/>
      <c r="E43" s="71"/>
      <c r="F43" s="71"/>
      <c r="G43" s="72"/>
      <c r="H43" s="72">
        <f>H22-G22</f>
        <v>3613</v>
      </c>
      <c r="I43" s="72">
        <f>I22-H22</f>
        <v>4345</v>
      </c>
      <c r="J43" s="72">
        <f>J22-I22</f>
        <v>866</v>
      </c>
      <c r="K43" s="72">
        <f>K22-J22</f>
        <v>-1537</v>
      </c>
    </row>
    <row r="44" spans="1:11">
      <c r="B44" s="71"/>
      <c r="C44" s="71"/>
      <c r="D44" s="71"/>
      <c r="E44" s="71"/>
      <c r="F44" s="71"/>
      <c r="G44" s="72"/>
      <c r="H44" s="72"/>
      <c r="I44" s="72"/>
      <c r="J44" s="72"/>
      <c r="K44" s="72"/>
    </row>
    <row r="45" spans="1:11">
      <c r="B45" s="71" t="s">
        <v>174</v>
      </c>
      <c r="C45" s="71"/>
      <c r="D45" s="71"/>
      <c r="E45" s="71"/>
      <c r="F45" s="71"/>
      <c r="G45" s="72">
        <f>G35</f>
        <v>4677</v>
      </c>
      <c r="H45" s="72">
        <f t="shared" ref="H45:K45" si="5">H35</f>
        <v>2901</v>
      </c>
      <c r="I45" s="72">
        <f t="shared" si="5"/>
        <v>6923</v>
      </c>
      <c r="J45" s="72">
        <f t="shared" si="5"/>
        <v>6856</v>
      </c>
      <c r="K45" s="72">
        <f t="shared" si="5"/>
        <v>6207</v>
      </c>
    </row>
    <row r="46" spans="1:11">
      <c r="B46" s="71" t="s">
        <v>202</v>
      </c>
      <c r="C46" s="71"/>
      <c r="D46" s="71"/>
      <c r="E46" s="71"/>
      <c r="F46" s="71"/>
      <c r="G46" s="93">
        <v>0.21</v>
      </c>
      <c r="H46" s="93">
        <v>0.21</v>
      </c>
      <c r="I46" s="93">
        <v>0.21</v>
      </c>
      <c r="J46" s="93">
        <v>0.21</v>
      </c>
      <c r="K46" s="93">
        <v>0.21</v>
      </c>
    </row>
    <row r="47" spans="1:11">
      <c r="B47" s="71" t="s">
        <v>204</v>
      </c>
      <c r="C47" s="71"/>
      <c r="D47" s="71"/>
      <c r="E47" s="71"/>
      <c r="F47" s="71"/>
      <c r="G47" s="94">
        <f>G45*(1-G46)</f>
        <v>3694.8300000000004</v>
      </c>
      <c r="H47" s="94">
        <f t="shared" ref="H47:K47" si="6">H45*(1-H46)</f>
        <v>2291.79</v>
      </c>
      <c r="I47" s="94">
        <f t="shared" si="6"/>
        <v>5469.17</v>
      </c>
      <c r="J47" s="94">
        <f t="shared" si="6"/>
        <v>5416.2400000000007</v>
      </c>
      <c r="K47" s="94">
        <f t="shared" si="6"/>
        <v>4903.5300000000007</v>
      </c>
    </row>
    <row r="48" spans="1:11">
      <c r="B48" s="71"/>
      <c r="C48" s="71"/>
      <c r="D48" s="71"/>
      <c r="E48" s="71"/>
      <c r="F48" s="71"/>
      <c r="G48" s="72"/>
      <c r="H48" s="72"/>
      <c r="I48" s="72"/>
      <c r="J48" s="72"/>
      <c r="K48" s="72"/>
    </row>
    <row r="49" spans="1:13">
      <c r="B49" s="71" t="s">
        <v>203</v>
      </c>
      <c r="C49" s="71"/>
      <c r="D49" s="71"/>
      <c r="E49" s="71"/>
      <c r="F49" s="71"/>
      <c r="G49" s="72"/>
      <c r="H49" s="72">
        <f>SUM(H42:H43)</f>
        <v>4699</v>
      </c>
      <c r="I49" s="72">
        <f t="shared" ref="I49:K49" si="7">SUM(I42:I43)</f>
        <v>5040</v>
      </c>
      <c r="J49" s="72">
        <f t="shared" si="7"/>
        <v>1624</v>
      </c>
      <c r="K49" s="72">
        <f t="shared" si="7"/>
        <v>-568</v>
      </c>
    </row>
    <row r="50" spans="1:13" ht="3.75" customHeight="1">
      <c r="H50" s="66"/>
      <c r="I50" s="66"/>
      <c r="J50" s="66"/>
      <c r="K50" s="66"/>
    </row>
    <row r="51" spans="1:13" ht="16" thickBot="1">
      <c r="B51" s="79" t="s">
        <v>205</v>
      </c>
      <c r="C51" s="79"/>
      <c r="D51" s="79"/>
      <c r="E51" s="79"/>
      <c r="F51" s="79"/>
      <c r="G51" s="79"/>
      <c r="H51" s="81">
        <f>H49/H47</f>
        <v>2.0503623804973405</v>
      </c>
      <c r="I51" s="81">
        <f t="shared" ref="I51:K51" si="8">I49/I47</f>
        <v>0.92152922655540048</v>
      </c>
      <c r="J51" s="81">
        <f t="shared" si="8"/>
        <v>0.29983900270298208</v>
      </c>
      <c r="K51" s="81">
        <f t="shared" si="8"/>
        <v>-0.11583491892575347</v>
      </c>
    </row>
    <row r="52" spans="1:13">
      <c r="H52" s="12"/>
      <c r="I52" s="12"/>
      <c r="J52" s="12"/>
      <c r="K52" s="12"/>
    </row>
    <row r="53" spans="1:13">
      <c r="J53" s="52" t="s">
        <v>206</v>
      </c>
      <c r="K53" s="53">
        <f>AVERAGE(H51:K51)</f>
        <v>0.78897392270749245</v>
      </c>
    </row>
    <row r="54" spans="1:13">
      <c r="J54" s="52" t="s">
        <v>207</v>
      </c>
      <c r="K54" s="53">
        <f>MEDIAN(H51:K51)</f>
        <v>0.61068411462919125</v>
      </c>
    </row>
    <row r="56" spans="1:13">
      <c r="A56" t="s">
        <v>73</v>
      </c>
      <c r="B56" s="43" t="s">
        <v>208</v>
      </c>
      <c r="C56" s="44"/>
      <c r="D56" s="44"/>
      <c r="E56" s="44"/>
      <c r="F56" s="44"/>
      <c r="G56" s="67">
        <f>G4</f>
        <v>43586</v>
      </c>
      <c r="H56" s="67">
        <f t="shared" ref="H56:K56" si="9">H4</f>
        <v>43952</v>
      </c>
      <c r="I56" s="67">
        <f t="shared" si="9"/>
        <v>44317</v>
      </c>
      <c r="J56" s="67">
        <f t="shared" si="9"/>
        <v>44682</v>
      </c>
      <c r="K56" s="67">
        <f t="shared" si="9"/>
        <v>45047</v>
      </c>
    </row>
    <row r="58" spans="1:13">
      <c r="B58" s="71" t="s">
        <v>205</v>
      </c>
      <c r="C58" s="71"/>
      <c r="D58" s="71"/>
      <c r="E58" s="71"/>
      <c r="F58" s="71"/>
      <c r="G58" s="71"/>
      <c r="H58" s="95">
        <f>H51</f>
        <v>2.0503623804973405</v>
      </c>
      <c r="I58" s="95">
        <f t="shared" ref="I58:K58" si="10">I51</f>
        <v>0.92152922655540048</v>
      </c>
      <c r="J58" s="95">
        <f t="shared" si="10"/>
        <v>0.29983900270298208</v>
      </c>
      <c r="K58" s="95">
        <f t="shared" si="10"/>
        <v>-0.11583491892575347</v>
      </c>
    </row>
    <row r="59" spans="1:13">
      <c r="B59" s="71" t="s">
        <v>165</v>
      </c>
      <c r="C59" s="71"/>
      <c r="D59" s="71"/>
      <c r="E59" s="71"/>
      <c r="F59" s="71"/>
      <c r="G59" s="71"/>
      <c r="H59" s="95">
        <f>H37</f>
        <v>0.10237498676641846</v>
      </c>
      <c r="I59" s="95">
        <f t="shared" ref="I59:K59" si="11">I37</f>
        <v>0.2050773150068132</v>
      </c>
      <c r="J59" s="95">
        <f t="shared" si="11"/>
        <v>0.19321928810979905</v>
      </c>
      <c r="K59" s="95">
        <f t="shared" si="11"/>
        <v>0.17999652012527548</v>
      </c>
    </row>
    <row r="60" spans="1:13" ht="4.5" customHeight="1"/>
    <row r="61" spans="1:13" ht="16" thickBot="1">
      <c r="B61" s="79" t="s">
        <v>209</v>
      </c>
      <c r="C61" s="79"/>
      <c r="D61" s="79"/>
      <c r="E61" s="79"/>
      <c r="F61" s="79"/>
      <c r="G61" s="79"/>
      <c r="H61" s="96">
        <f>H58*H59</f>
        <v>0.2099058215697775</v>
      </c>
      <c r="I61" s="96">
        <f t="shared" ref="I61:K61" si="12">I58*I59</f>
        <v>0.18898473948228678</v>
      </c>
      <c r="J61" s="96">
        <f>J58*J59</f>
        <v>5.793467864982231E-2</v>
      </c>
      <c r="K61" s="96">
        <f t="shared" si="12"/>
        <v>-2.0849882315629037E-2</v>
      </c>
      <c r="M61" s="90"/>
    </row>
    <row r="63" spans="1:13">
      <c r="J63" s="52" t="s">
        <v>206</v>
      </c>
      <c r="K63" s="53">
        <f>AVERAGE(H61:K61)</f>
        <v>0.1089938393465644</v>
      </c>
    </row>
    <row r="64" spans="1:13">
      <c r="J64" s="52" t="s">
        <v>207</v>
      </c>
      <c r="K64" s="53">
        <f>MEDIAN(H61:K61)</f>
        <v>0.12345970906605454</v>
      </c>
    </row>
  </sheetData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8FA-361B-479D-97F8-15023F88244B}">
  <dimension ref="B1:K43"/>
  <sheetViews>
    <sheetView showGridLines="0" topLeftCell="A3" zoomScaleNormal="93" workbookViewId="0">
      <selection activeCell="G42" sqref="G42"/>
    </sheetView>
  </sheetViews>
  <sheetFormatPr baseColWidth="10" defaultColWidth="8.83203125" defaultRowHeight="15"/>
  <cols>
    <col min="1" max="1" width="1.83203125" customWidth="1"/>
    <col min="4" max="4" width="18.5" customWidth="1"/>
    <col min="5" max="5" width="12.1640625" bestFit="1" customWidth="1"/>
    <col min="11" max="11" width="9.83203125" bestFit="1" customWidth="1"/>
  </cols>
  <sheetData>
    <row r="1" spans="2:11">
      <c r="B1" s="29" t="s">
        <v>689</v>
      </c>
    </row>
    <row r="2" spans="2:11">
      <c r="B2" s="29" t="s">
        <v>690</v>
      </c>
    </row>
    <row r="3" spans="2:11">
      <c r="F3">
        <v>0</v>
      </c>
      <c r="G3">
        <v>0.5</v>
      </c>
      <c r="H3">
        <v>1.5</v>
      </c>
      <c r="I3">
        <v>2.5</v>
      </c>
      <c r="J3">
        <v>3.5</v>
      </c>
      <c r="K3">
        <v>4.5</v>
      </c>
    </row>
    <row r="4" spans="2:11">
      <c r="B4" s="43" t="s">
        <v>219</v>
      </c>
      <c r="C4" s="44"/>
      <c r="D4" s="44"/>
      <c r="E4" s="44"/>
      <c r="F4" s="67">
        <v>45047</v>
      </c>
      <c r="G4" s="67">
        <f>F4+366</f>
        <v>45413</v>
      </c>
      <c r="H4" s="67">
        <f t="shared" ref="H4:J4" si="0">G4+365</f>
        <v>45778</v>
      </c>
      <c r="I4" s="67">
        <f t="shared" si="0"/>
        <v>46143</v>
      </c>
      <c r="J4" s="67">
        <f t="shared" si="0"/>
        <v>46508</v>
      </c>
      <c r="K4" s="67">
        <f>J4+366</f>
        <v>46874</v>
      </c>
    </row>
    <row r="6" spans="2:11">
      <c r="B6" t="s">
        <v>174</v>
      </c>
      <c r="F6" s="97">
        <f>'Intrisic Growth'!K35</f>
        <v>6207</v>
      </c>
      <c r="G6" s="97">
        <f>F6*(1+$E$20)</f>
        <v>6928.4195874985626</v>
      </c>
      <c r="H6" s="97">
        <f t="shared" ref="H6:K6" si="1">G6*(1+$E$20)</f>
        <v>7733.6874465013298</v>
      </c>
      <c r="I6" s="97">
        <f t="shared" si="1"/>
        <v>8632.5489911280092</v>
      </c>
      <c r="J6" s="97">
        <f t="shared" si="1"/>
        <v>9635.8823135447492</v>
      </c>
      <c r="K6" s="97">
        <f t="shared" si="1"/>
        <v>10755.829831479685</v>
      </c>
    </row>
    <row r="8" spans="2:11">
      <c r="B8" t="s">
        <v>22</v>
      </c>
      <c r="F8" s="14">
        <v>0.21</v>
      </c>
      <c r="G8" s="14">
        <f>F8</f>
        <v>0.21</v>
      </c>
      <c r="H8" s="14">
        <f t="shared" ref="H8:K8" si="2">G8</f>
        <v>0.21</v>
      </c>
      <c r="I8" s="14">
        <f t="shared" si="2"/>
        <v>0.21</v>
      </c>
      <c r="J8" s="14">
        <f t="shared" si="2"/>
        <v>0.21</v>
      </c>
      <c r="K8" s="14">
        <f t="shared" si="2"/>
        <v>0.21</v>
      </c>
    </row>
    <row r="10" spans="2:11">
      <c r="B10" t="s">
        <v>210</v>
      </c>
      <c r="F10" s="97">
        <f>F6*(1-F8)</f>
        <v>4903.5300000000007</v>
      </c>
      <c r="G10" s="97">
        <f t="shared" ref="G10:K10" si="3">G6*(1-G8)</f>
        <v>5473.4514741238645</v>
      </c>
      <c r="H10" s="97">
        <f t="shared" si="3"/>
        <v>6109.6130827360512</v>
      </c>
      <c r="I10" s="97">
        <f t="shared" si="3"/>
        <v>6819.7137029911273</v>
      </c>
      <c r="J10" s="97">
        <f t="shared" si="3"/>
        <v>7612.3470277003526</v>
      </c>
      <c r="K10" s="97">
        <f t="shared" si="3"/>
        <v>8497.1055668689514</v>
      </c>
    </row>
    <row r="12" spans="2:11">
      <c r="B12" t="s">
        <v>211</v>
      </c>
      <c r="F12" s="14">
        <f>AVERAGE('Intrisic Growth'!K53,'Intrisic Growth'!K54)</f>
        <v>0.6998290186683418</v>
      </c>
      <c r="G12" s="14">
        <f>F12</f>
        <v>0.6998290186683418</v>
      </c>
      <c r="H12" s="14">
        <f t="shared" ref="H12:K12" si="4">G12</f>
        <v>0.6998290186683418</v>
      </c>
      <c r="I12" s="14">
        <f t="shared" si="4"/>
        <v>0.6998290186683418</v>
      </c>
      <c r="J12" s="14">
        <f t="shared" si="4"/>
        <v>0.6998290186683418</v>
      </c>
      <c r="K12" s="14">
        <f t="shared" si="4"/>
        <v>0.6998290186683418</v>
      </c>
    </row>
    <row r="14" spans="2:11" ht="16" thickBot="1">
      <c r="B14" s="79" t="s">
        <v>212</v>
      </c>
      <c r="C14" s="79"/>
      <c r="D14" s="79"/>
      <c r="E14" s="79"/>
      <c r="F14" s="99">
        <f>F10*(1-F12)</f>
        <v>1471.8974120892262</v>
      </c>
      <c r="G14" s="99">
        <f t="shared" ref="G14:K14" si="5">G10*(1-G12)</f>
        <v>1642.9713002589715</v>
      </c>
      <c r="H14" s="99">
        <f t="shared" si="5"/>
        <v>1833.9285546016179</v>
      </c>
      <c r="I14" s="99">
        <f t="shared" si="5"/>
        <v>2047.0801546278033</v>
      </c>
      <c r="J14" s="99">
        <f t="shared" si="5"/>
        <v>2285.0056775419462</v>
      </c>
      <c r="K14" s="99">
        <f t="shared" si="5"/>
        <v>2550.5845164857492</v>
      </c>
    </row>
    <row r="16" spans="2:11">
      <c r="B16" t="s">
        <v>220</v>
      </c>
      <c r="F16" s="8">
        <f>1/(1+$E$27)^F3</f>
        <v>1</v>
      </c>
      <c r="G16" s="8">
        <f>1/(1+$E$27)^G3</f>
        <v>0.96773421277412575</v>
      </c>
      <c r="H16" s="8">
        <f t="shared" ref="H16:K16" si="6">1/(1+$E$27)^H3</f>
        <v>0.90629229009944601</v>
      </c>
      <c r="I16" s="8">
        <f t="shared" si="6"/>
        <v>0.84875134541245112</v>
      </c>
      <c r="J16" s="8">
        <f t="shared" si="6"/>
        <v>0.79486370369585702</v>
      </c>
      <c r="K16" s="8">
        <f t="shared" si="6"/>
        <v>0.74439741494143696</v>
      </c>
    </row>
    <row r="18" spans="2:11" ht="16" thickBot="1">
      <c r="B18" s="79" t="s">
        <v>221</v>
      </c>
      <c r="C18" s="79"/>
      <c r="D18" s="79"/>
      <c r="E18" s="79"/>
      <c r="F18" s="99">
        <f>F16*F14</f>
        <v>1471.8974120892262</v>
      </c>
      <c r="G18" s="99">
        <f t="shared" ref="G18:K18" si="7">G16*G14</f>
        <v>1589.9595378665977</v>
      </c>
      <c r="H18" s="99">
        <f t="shared" si="7"/>
        <v>1662.0753096286671</v>
      </c>
      <c r="I18" s="99">
        <f t="shared" si="7"/>
        <v>1737.4620354074766</v>
      </c>
      <c r="J18" s="99">
        <f t="shared" si="7"/>
        <v>1816.2680758170525</v>
      </c>
      <c r="K18" s="99">
        <f t="shared" si="7"/>
        <v>1898.6485206616467</v>
      </c>
    </row>
    <row r="20" spans="2:11">
      <c r="B20" s="40" t="s">
        <v>213</v>
      </c>
      <c r="C20" s="40"/>
      <c r="D20" s="100"/>
      <c r="E20" s="100">
        <f>AVERAGE('Intrisic Growth'!K63,'Intrisic Growth'!K64)</f>
        <v>0.11622677420630947</v>
      </c>
    </row>
    <row r="21" spans="2:11">
      <c r="B21" s="40" t="s">
        <v>214</v>
      </c>
      <c r="C21" s="40"/>
      <c r="D21" s="100"/>
      <c r="E21" s="100">
        <v>0.05</v>
      </c>
    </row>
    <row r="24" spans="2:11">
      <c r="B24" s="43" t="s">
        <v>215</v>
      </c>
      <c r="C24" s="44"/>
      <c r="D24" s="44"/>
      <c r="E24" s="44"/>
    </row>
    <row r="26" spans="2:11">
      <c r="B26" t="s">
        <v>216</v>
      </c>
      <c r="E26" s="97">
        <f>K14*(1+E20)</f>
        <v>2847.0307271774473</v>
      </c>
    </row>
    <row r="27" spans="2:11">
      <c r="B27" t="s">
        <v>72</v>
      </c>
      <c r="E27" s="14">
        <f>WACC!J47</f>
        <v>6.7794820000000006E-2</v>
      </c>
    </row>
    <row r="28" spans="2:11">
      <c r="B28" t="s">
        <v>217</v>
      </c>
      <c r="E28" s="14">
        <f>E21</f>
        <v>0.05</v>
      </c>
    </row>
    <row r="30" spans="2:11" ht="16" thickBot="1">
      <c r="B30" s="79" t="s">
        <v>218</v>
      </c>
      <c r="C30" s="79"/>
      <c r="D30" s="79"/>
      <c r="E30" s="79">
        <f>E26/(E27-E28)</f>
        <v>159992.1059711448</v>
      </c>
    </row>
    <row r="33" spans="2:11">
      <c r="B33" s="43" t="s">
        <v>222</v>
      </c>
      <c r="C33" s="44"/>
      <c r="D33" s="44"/>
      <c r="E33" s="44"/>
    </row>
    <row r="34" spans="2:11">
      <c r="K34" s="12"/>
    </row>
    <row r="35" spans="2:11">
      <c r="B35" t="s">
        <v>221</v>
      </c>
      <c r="E35" s="97">
        <f>SUM(G18:K18)</f>
        <v>8704.413479381441</v>
      </c>
      <c r="K35" s="109"/>
    </row>
    <row r="36" spans="2:11">
      <c r="B36" t="s">
        <v>223</v>
      </c>
      <c r="E36" s="101">
        <f>E30*K16</f>
        <v>119097.71009595663</v>
      </c>
    </row>
    <row r="37" spans="2:11">
      <c r="B37" s="1" t="s">
        <v>224</v>
      </c>
      <c r="C37" s="1"/>
      <c r="D37" s="1"/>
      <c r="E37" s="98">
        <f>SUM(E35:E36)</f>
        <v>127802.12357533808</v>
      </c>
    </row>
    <row r="39" spans="2:11">
      <c r="B39" t="s">
        <v>225</v>
      </c>
      <c r="E39" s="193">
        <f>'Data Sheet_NKE'!S31</f>
        <v>7441</v>
      </c>
    </row>
    <row r="40" spans="2:11">
      <c r="B40" t="s">
        <v>226</v>
      </c>
      <c r="E40">
        <f>SUM('Data Sheet_NKE'!S51,'Data Sheet_NKE'!S55)</f>
        <v>8933</v>
      </c>
    </row>
    <row r="41" spans="2:11">
      <c r="B41" s="1" t="s">
        <v>227</v>
      </c>
      <c r="C41" s="1"/>
      <c r="D41" s="1"/>
      <c r="E41" s="98">
        <f>E37+E39-E40</f>
        <v>126310.12357533808</v>
      </c>
    </row>
    <row r="42" spans="2:11">
      <c r="B42" t="s">
        <v>228</v>
      </c>
      <c r="E42" s="97">
        <v>1532</v>
      </c>
    </row>
    <row r="43" spans="2:11">
      <c r="B43" s="52" t="s">
        <v>229</v>
      </c>
      <c r="C43" s="52"/>
      <c r="D43" s="52"/>
      <c r="E43" s="210">
        <f>E41/E42</f>
        <v>82.447861341604494</v>
      </c>
    </row>
  </sheetData>
  <pageMargins left="0.7" right="0.7" top="0.75" bottom="0.75" header="0.3" footer="0.3"/>
  <pageSetup paperSize="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E27B-28ED-6E47-BA9D-66F9AF334D02}">
  <sheetPr>
    <tabColor theme="8" tint="0.39997558519241921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4799-95DF-D441-9615-5A772AF31F6B}">
  <dimension ref="B2:J49"/>
  <sheetViews>
    <sheetView showGridLines="0" tabSelected="1" zoomScale="97" zoomScaleNormal="97" workbookViewId="0">
      <selection activeCell="C3" sqref="C3"/>
    </sheetView>
  </sheetViews>
  <sheetFormatPr baseColWidth="10" defaultRowHeight="15"/>
  <cols>
    <col min="1" max="1" width="2" customWidth="1"/>
    <col min="2" max="2" width="41.6640625" bestFit="1" customWidth="1"/>
  </cols>
  <sheetData>
    <row r="2" spans="2:10">
      <c r="B2" s="211" t="s">
        <v>689</v>
      </c>
    </row>
    <row r="3" spans="2:10">
      <c r="B3" s="211" t="s">
        <v>690</v>
      </c>
    </row>
    <row r="4" spans="2:10" ht="19">
      <c r="B4" s="4" t="s">
        <v>0</v>
      </c>
      <c r="C4" s="5"/>
      <c r="D4" s="5"/>
      <c r="E4" s="5"/>
      <c r="F4" s="6"/>
      <c r="G4" s="6"/>
      <c r="H4" s="6"/>
      <c r="I4" s="6"/>
      <c r="J4" s="6"/>
    </row>
    <row r="6" spans="2:10">
      <c r="B6" s="29" t="s">
        <v>493</v>
      </c>
    </row>
    <row r="7" spans="2:10">
      <c r="B7" s="29" t="s">
        <v>527</v>
      </c>
    </row>
    <row r="9" spans="2:10">
      <c r="B9" s="1" t="s">
        <v>1</v>
      </c>
    </row>
    <row r="10" spans="2:10">
      <c r="B10" s="2"/>
      <c r="C10" s="2"/>
      <c r="D10" s="2"/>
      <c r="E10" s="2"/>
      <c r="F10" s="10"/>
      <c r="G10" s="10" t="s">
        <v>6</v>
      </c>
      <c r="H10" s="10" t="s">
        <v>6</v>
      </c>
    </row>
    <row r="11" spans="2:10" ht="17">
      <c r="B11" s="3" t="s">
        <v>2</v>
      </c>
      <c r="C11" s="3"/>
      <c r="D11" s="11" t="s">
        <v>3</v>
      </c>
      <c r="E11" s="11" t="s">
        <v>4</v>
      </c>
      <c r="F11" s="11" t="s">
        <v>8</v>
      </c>
      <c r="G11" s="11" t="s">
        <v>7</v>
      </c>
      <c r="H11" s="11" t="s">
        <v>9</v>
      </c>
    </row>
    <row r="12" spans="2:10">
      <c r="B12" s="7"/>
      <c r="C12" s="7"/>
      <c r="D12" s="7"/>
      <c r="E12" s="7"/>
      <c r="F12" s="7"/>
      <c r="G12" s="7"/>
      <c r="H12" s="7"/>
    </row>
    <row r="13" spans="2:10">
      <c r="B13" s="9" t="s">
        <v>230</v>
      </c>
      <c r="C13" s="9"/>
      <c r="D13" s="32">
        <v>8927</v>
      </c>
      <c r="E13" s="32">
        <v>14004</v>
      </c>
      <c r="F13" s="13">
        <v>0.21</v>
      </c>
      <c r="G13" s="19">
        <f>D13/E13</f>
        <v>0.63746072550699795</v>
      </c>
      <c r="H13" s="19">
        <f>D13/(D13+E13)</f>
        <v>0.38929832977192447</v>
      </c>
    </row>
    <row r="14" spans="2:10">
      <c r="B14" s="9" t="s">
        <v>231</v>
      </c>
      <c r="C14" s="9"/>
      <c r="D14" s="32">
        <v>2598.2800000000002</v>
      </c>
      <c r="E14" s="32">
        <v>4897.16</v>
      </c>
      <c r="F14" s="13">
        <v>0.21</v>
      </c>
      <c r="G14" s="19">
        <f t="shared" ref="G14:G20" si="0">D14/E14</f>
        <v>0.53056873779905089</v>
      </c>
      <c r="H14" s="19">
        <f t="shared" ref="H14:H20" si="1">D14/(D14+E14)</f>
        <v>0.34664809537532154</v>
      </c>
    </row>
    <row r="15" spans="2:10">
      <c r="B15" s="9" t="s">
        <v>232</v>
      </c>
      <c r="C15" s="9"/>
      <c r="D15" s="32">
        <v>594.87300000000005</v>
      </c>
      <c r="E15" s="32">
        <v>2153</v>
      </c>
      <c r="F15" s="13">
        <v>0.21</v>
      </c>
      <c r="G15" s="19">
        <f t="shared" si="0"/>
        <v>0.27629958197863447</v>
      </c>
      <c r="H15" s="19">
        <f t="shared" si="1"/>
        <v>0.21648489577211175</v>
      </c>
    </row>
    <row r="16" spans="2:10">
      <c r="B16" s="9" t="s">
        <v>233</v>
      </c>
      <c r="C16" s="9"/>
      <c r="D16" s="32">
        <v>242.94399999999999</v>
      </c>
      <c r="E16" s="32">
        <v>4400.0420000000004</v>
      </c>
      <c r="F16" s="13">
        <v>0.21</v>
      </c>
      <c r="G16" s="19">
        <f t="shared" si="0"/>
        <v>5.5214018411642425E-2</v>
      </c>
      <c r="H16" s="19">
        <f t="shared" si="1"/>
        <v>5.2324947781449256E-2</v>
      </c>
    </row>
    <row r="17" spans="2:10">
      <c r="B17" s="9" t="s">
        <v>234</v>
      </c>
      <c r="C17" s="9"/>
      <c r="D17" s="32">
        <v>233.85686596000002</v>
      </c>
      <c r="E17" s="32">
        <v>2956.69</v>
      </c>
      <c r="F17" s="13">
        <v>0.21</v>
      </c>
      <c r="G17" s="19">
        <f t="shared" si="0"/>
        <v>7.9094144452073106E-2</v>
      </c>
      <c r="H17" s="19">
        <f t="shared" si="1"/>
        <v>7.3296797002113639E-2</v>
      </c>
    </row>
    <row r="18" spans="2:10">
      <c r="B18" s="9" t="s">
        <v>235</v>
      </c>
      <c r="D18" s="9">
        <v>350</v>
      </c>
      <c r="E18" s="32">
        <v>3126.9917804400002</v>
      </c>
      <c r="F18" s="13">
        <v>0.21</v>
      </c>
      <c r="G18" s="19">
        <f t="shared" si="0"/>
        <v>0.11192866005895014</v>
      </c>
      <c r="H18" s="19">
        <f t="shared" si="1"/>
        <v>0.10066172775240464</v>
      </c>
    </row>
    <row r="19" spans="2:10">
      <c r="B19" s="9" t="s">
        <v>236</v>
      </c>
      <c r="D19" s="9">
        <v>15.61</v>
      </c>
      <c r="E19" s="32">
        <v>1136.83</v>
      </c>
      <c r="F19" s="13">
        <v>0.21</v>
      </c>
      <c r="G19" s="19">
        <f t="shared" si="0"/>
        <v>1.373116472999481E-2</v>
      </c>
      <c r="H19" s="19">
        <f t="shared" si="1"/>
        <v>1.3545173718371457E-2</v>
      </c>
    </row>
    <row r="20" spans="2:10">
      <c r="B20" s="9" t="s">
        <v>237</v>
      </c>
      <c r="D20" s="9">
        <v>4702.2839999999997</v>
      </c>
      <c r="E20" s="32">
        <v>1658.365</v>
      </c>
      <c r="F20" s="13">
        <v>0.21</v>
      </c>
      <c r="G20" s="19">
        <f t="shared" si="0"/>
        <v>2.835493995592044</v>
      </c>
      <c r="H20" s="19">
        <f t="shared" si="1"/>
        <v>0.73927739134795833</v>
      </c>
    </row>
    <row r="21" spans="2:10">
      <c r="B21" s="9"/>
      <c r="E21" s="15" t="s">
        <v>5</v>
      </c>
      <c r="F21" s="16">
        <f>AVERAGE(F13:F20)</f>
        <v>0.21</v>
      </c>
      <c r="G21" s="16">
        <f>AVERAGE(G13:G20)</f>
        <v>0.56747387856617348</v>
      </c>
      <c r="H21" s="16">
        <f>AVERAGE(H13:H20)</f>
        <v>0.24144216981520689</v>
      </c>
    </row>
    <row r="22" spans="2:10">
      <c r="B22" s="9"/>
      <c r="E22" s="17" t="s">
        <v>10</v>
      </c>
      <c r="F22" s="18">
        <f>MEDIAN(F13:F20)</f>
        <v>0.21</v>
      </c>
      <c r="G22" s="18">
        <f>MEDIAN(G13:G20)</f>
        <v>0.1941141210187923</v>
      </c>
      <c r="H22" s="18">
        <f>MEDIAN(H13:H20)</f>
        <v>0.1585733117622582</v>
      </c>
    </row>
    <row r="23" spans="2:10">
      <c r="B23" s="9"/>
      <c r="E23" s="1"/>
      <c r="F23" s="28"/>
      <c r="G23" s="28"/>
      <c r="H23" s="28"/>
    </row>
    <row r="24" spans="2:10">
      <c r="B24" s="103" t="s">
        <v>528</v>
      </c>
      <c r="E24" s="1"/>
      <c r="F24" s="28"/>
      <c r="G24" s="28"/>
      <c r="H24" s="28"/>
      <c r="I24" s="8"/>
      <c r="J24" s="8"/>
    </row>
    <row r="25" spans="2:10">
      <c r="B25" s="9"/>
      <c r="G25" s="8"/>
    </row>
    <row r="26" spans="2:10">
      <c r="B26" s="17" t="s">
        <v>20</v>
      </c>
      <c r="C26" s="20"/>
      <c r="D26" s="20"/>
      <c r="E26" s="20"/>
      <c r="G26" s="17" t="s">
        <v>16</v>
      </c>
      <c r="H26" s="20"/>
      <c r="I26" s="20"/>
      <c r="J26" s="20"/>
    </row>
    <row r="27" spans="2:10">
      <c r="B27" s="8"/>
      <c r="G27" s="8"/>
    </row>
    <row r="28" spans="2:10">
      <c r="B28" t="s">
        <v>21</v>
      </c>
      <c r="E28" s="42">
        <f>E30/(1-E29)</f>
        <v>3.8588235294117652E-2</v>
      </c>
      <c r="G28" t="s">
        <v>17</v>
      </c>
      <c r="J28" s="48">
        <v>2.4E-2</v>
      </c>
    </row>
    <row r="29" spans="2:10">
      <c r="B29" t="s">
        <v>22</v>
      </c>
      <c r="E29" s="14">
        <v>0.15</v>
      </c>
      <c r="G29" t="s">
        <v>18</v>
      </c>
      <c r="J29" s="45">
        <v>4.5699999999999998E-2</v>
      </c>
    </row>
    <row r="30" spans="2:10">
      <c r="B30" s="22" t="s">
        <v>23</v>
      </c>
      <c r="C30" s="22"/>
      <c r="D30" s="22"/>
      <c r="E30" s="26">
        <v>3.2800000000000003E-2</v>
      </c>
      <c r="G30" t="s">
        <v>24</v>
      </c>
      <c r="J30" s="49">
        <v>0.78</v>
      </c>
    </row>
    <row r="31" spans="2:10">
      <c r="G31" s="22" t="s">
        <v>16</v>
      </c>
      <c r="H31" s="22"/>
      <c r="I31" s="22"/>
      <c r="J31" s="50">
        <f>J28+(J29*J30)</f>
        <v>5.9645999999999998E-2</v>
      </c>
    </row>
    <row r="34" spans="2:10">
      <c r="B34" s="17" t="s">
        <v>11</v>
      </c>
      <c r="C34" s="20"/>
      <c r="D34" s="20"/>
      <c r="E34" s="20"/>
    </row>
    <row r="36" spans="2:10">
      <c r="D36" s="21" t="s">
        <v>14</v>
      </c>
      <c r="E36" s="21" t="s">
        <v>15</v>
      </c>
    </row>
    <row r="37" spans="2:10">
      <c r="B37" t="s">
        <v>3</v>
      </c>
      <c r="C37" s="32">
        <f>D14</f>
        <v>2598.2800000000002</v>
      </c>
      <c r="D37" s="12">
        <f>C37/$C$39</f>
        <v>0.34664809537532154</v>
      </c>
      <c r="E37" s="27">
        <v>0.34</v>
      </c>
    </row>
    <row r="38" spans="2:10">
      <c r="B38" t="s">
        <v>12</v>
      </c>
      <c r="C38" s="32">
        <f>E14</f>
        <v>4897.16</v>
      </c>
      <c r="D38" s="12">
        <f>C38/$C$39</f>
        <v>0.6533519046246784</v>
      </c>
      <c r="E38" s="14">
        <f>E39-E37</f>
        <v>0.65999999999999992</v>
      </c>
    </row>
    <row r="39" spans="2:10">
      <c r="B39" t="s">
        <v>13</v>
      </c>
      <c r="C39" s="22">
        <f>SUM(C37:C38)</f>
        <v>7495.4400000000005</v>
      </c>
      <c r="D39" s="23">
        <f>C39/$C$39</f>
        <v>1</v>
      </c>
      <c r="E39" s="24">
        <f>D39</f>
        <v>1</v>
      </c>
    </row>
    <row r="41" spans="2:10">
      <c r="B41" t="s">
        <v>19</v>
      </c>
      <c r="D41" s="25">
        <f>D37/D38</f>
        <v>0.530568737799051</v>
      </c>
      <c r="E41" s="25">
        <f>E37/E38</f>
        <v>0.51515151515151525</v>
      </c>
      <c r="G41" s="17" t="s">
        <v>0</v>
      </c>
      <c r="H41" s="20"/>
      <c r="I41" s="20"/>
      <c r="J41" s="20"/>
    </row>
    <row r="42" spans="2:10">
      <c r="G42" s="8"/>
    </row>
    <row r="43" spans="2:10">
      <c r="B43" s="30" t="s">
        <v>25</v>
      </c>
      <c r="G43" t="s">
        <v>16</v>
      </c>
      <c r="J43" s="51">
        <f>J31</f>
        <v>5.9645999999999998E-2</v>
      </c>
    </row>
    <row r="44" spans="2:10">
      <c r="B44" s="30" t="s">
        <v>26</v>
      </c>
      <c r="G44" t="s">
        <v>70</v>
      </c>
      <c r="J44" s="14">
        <f>E38</f>
        <v>0.65999999999999992</v>
      </c>
    </row>
    <row r="45" spans="2:10">
      <c r="B45" s="30" t="s">
        <v>28</v>
      </c>
      <c r="J45" s="51"/>
    </row>
    <row r="46" spans="2:10">
      <c r="B46" s="30" t="s">
        <v>29</v>
      </c>
      <c r="G46" t="s">
        <v>20</v>
      </c>
      <c r="J46" s="14">
        <f>E30</f>
        <v>3.2800000000000003E-2</v>
      </c>
    </row>
    <row r="47" spans="2:10">
      <c r="G47" t="s">
        <v>71</v>
      </c>
      <c r="J47" s="14">
        <f>E37</f>
        <v>0.34</v>
      </c>
    </row>
    <row r="49" spans="7:10">
      <c r="G49" s="52" t="s">
        <v>72</v>
      </c>
      <c r="H49" s="52"/>
      <c r="I49" s="52"/>
      <c r="J49" s="53">
        <f>(J43*J44)+(J46*J47)</f>
        <v>5.0518359999999998E-2</v>
      </c>
    </row>
  </sheetData>
  <pageMargins left="0.7" right="0.7" top="0.75" bottom="0.75" header="0.3" footer="0.3"/>
  <pageSetup paperSize="8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A553-F042-D244-AF47-7D739E71924C}">
  <dimension ref="B2:K67"/>
  <sheetViews>
    <sheetView showGridLines="0" zoomScale="125" zoomScaleNormal="92" workbookViewId="0">
      <selection activeCell="C1" sqref="C1"/>
    </sheetView>
  </sheetViews>
  <sheetFormatPr baseColWidth="10" defaultRowHeight="15"/>
  <cols>
    <col min="1" max="1" width="2" customWidth="1"/>
    <col min="2" max="2" width="27.83203125" bestFit="1" customWidth="1"/>
    <col min="10" max="10" width="13" bestFit="1" customWidth="1"/>
  </cols>
  <sheetData>
    <row r="2" spans="2:11">
      <c r="B2" s="211" t="s">
        <v>693</v>
      </c>
    </row>
    <row r="3" spans="2:11">
      <c r="B3" s="211" t="s">
        <v>690</v>
      </c>
    </row>
    <row r="4" spans="2:11">
      <c r="B4" s="43" t="s">
        <v>166</v>
      </c>
      <c r="C4" s="44"/>
      <c r="D4" s="44"/>
      <c r="E4" s="44"/>
      <c r="F4" s="44"/>
      <c r="G4" s="67">
        <f>'Data Sheet_NKE'!O28</f>
        <v>43586</v>
      </c>
      <c r="H4" s="67">
        <f>'Data Sheet_NKE'!P28</f>
        <v>43952</v>
      </c>
      <c r="I4" s="67">
        <f>'Data Sheet_NKE'!Q28</f>
        <v>44317</v>
      </c>
      <c r="J4" s="67">
        <f>'Data Sheet_NKE'!R28</f>
        <v>44682</v>
      </c>
      <c r="K4" s="67">
        <f>'Data Sheet_NKE'!S28</f>
        <v>45047</v>
      </c>
    </row>
    <row r="6" spans="2:11">
      <c r="B6" s="1" t="s">
        <v>167</v>
      </c>
    </row>
    <row r="7" spans="2:11">
      <c r="B7" s="71" t="s">
        <v>161</v>
      </c>
      <c r="C7" s="71"/>
      <c r="D7" s="71"/>
      <c r="E7" s="71"/>
      <c r="F7" s="71"/>
      <c r="G7" s="142">
        <v>2220</v>
      </c>
      <c r="H7" s="142">
        <v>3994</v>
      </c>
      <c r="I7" s="142">
        <v>3828</v>
      </c>
      <c r="J7" s="142">
        <v>798</v>
      </c>
      <c r="K7" s="142">
        <v>1431</v>
      </c>
    </row>
    <row r="8" spans="2:11">
      <c r="B8" s="71" t="s">
        <v>302</v>
      </c>
      <c r="C8" s="71"/>
      <c r="D8" s="71"/>
      <c r="E8" s="71"/>
      <c r="F8" s="71"/>
      <c r="G8" s="142">
        <v>501</v>
      </c>
      <c r="H8" s="142">
        <v>342</v>
      </c>
      <c r="I8" s="142">
        <v>213</v>
      </c>
      <c r="J8" s="142">
        <v>502</v>
      </c>
      <c r="K8" s="142">
        <v>361</v>
      </c>
    </row>
    <row r="9" spans="2:11">
      <c r="B9" s="71" t="s">
        <v>306</v>
      </c>
      <c r="C9" s="71"/>
      <c r="D9" s="71"/>
      <c r="E9" s="71"/>
      <c r="F9" s="71"/>
      <c r="G9" s="142">
        <v>3278</v>
      </c>
      <c r="H9" s="142">
        <v>2713</v>
      </c>
      <c r="I9" s="142">
        <v>2986</v>
      </c>
      <c r="J9" s="142">
        <v>3558</v>
      </c>
      <c r="K9" s="142">
        <v>2785</v>
      </c>
    </row>
    <row r="10" spans="2:11">
      <c r="B10" s="71" t="s">
        <v>313</v>
      </c>
      <c r="C10" s="71"/>
      <c r="D10" s="71"/>
      <c r="E10" s="71"/>
      <c r="F10" s="71"/>
      <c r="G10" s="142">
        <v>2642</v>
      </c>
      <c r="H10" s="142">
        <v>1968</v>
      </c>
      <c r="I10" s="142">
        <v>2190</v>
      </c>
      <c r="J10" s="142">
        <v>2544</v>
      </c>
      <c r="K10" s="142">
        <v>1916</v>
      </c>
    </row>
    <row r="11" spans="2:11">
      <c r="B11" s="71" t="s">
        <v>314</v>
      </c>
      <c r="C11" s="71"/>
      <c r="D11" s="71"/>
      <c r="E11" s="71"/>
      <c r="F11" s="71"/>
      <c r="G11" s="197">
        <v>636</v>
      </c>
      <c r="H11" s="197">
        <v>745</v>
      </c>
      <c r="I11" s="197">
        <v>796</v>
      </c>
      <c r="J11" s="142">
        <v>1014</v>
      </c>
      <c r="K11" s="197">
        <v>869</v>
      </c>
    </row>
    <row r="12" spans="2:11">
      <c r="B12" s="71" t="s">
        <v>91</v>
      </c>
      <c r="C12" s="71"/>
      <c r="D12" s="71"/>
      <c r="E12" s="71"/>
      <c r="F12" s="71"/>
      <c r="G12" s="197">
        <v>4085</v>
      </c>
      <c r="H12" s="197">
        <v>4397</v>
      </c>
      <c r="I12" s="197">
        <v>4009</v>
      </c>
      <c r="J12" s="197">
        <v>5973</v>
      </c>
      <c r="K12" s="197">
        <v>4525</v>
      </c>
    </row>
    <row r="13" spans="2:11" ht="16" thickBot="1">
      <c r="B13" s="194" t="s">
        <v>319</v>
      </c>
      <c r="C13" s="194"/>
      <c r="D13" s="194"/>
      <c r="E13" s="194"/>
      <c r="F13" s="194"/>
      <c r="G13" s="198">
        <v>850</v>
      </c>
      <c r="H13" s="198">
        <v>708</v>
      </c>
      <c r="I13" s="199">
        <v>2908</v>
      </c>
      <c r="J13" s="198">
        <v>901</v>
      </c>
      <c r="K13" s="198">
        <v>707</v>
      </c>
    </row>
    <row r="14" spans="2:11">
      <c r="B14" s="195" t="s">
        <v>93</v>
      </c>
      <c r="C14" s="196"/>
      <c r="D14" s="196"/>
      <c r="E14" s="196"/>
      <c r="F14" s="196"/>
      <c r="G14" s="200">
        <f>SUM(G7:G13)</f>
        <v>14212</v>
      </c>
      <c r="H14" s="200">
        <f t="shared" ref="H14:K14" si="0">SUM(H7:H13)</f>
        <v>14867</v>
      </c>
      <c r="I14" s="200">
        <f t="shared" si="0"/>
        <v>16930</v>
      </c>
      <c r="J14" s="200">
        <f t="shared" si="0"/>
        <v>15290</v>
      </c>
      <c r="K14" s="200">
        <f t="shared" si="0"/>
        <v>12594</v>
      </c>
    </row>
    <row r="15" spans="2:11">
      <c r="G15" s="73"/>
      <c r="H15" s="73"/>
      <c r="I15" s="73"/>
      <c r="J15" s="73"/>
      <c r="K15" s="73"/>
    </row>
    <row r="16" spans="2:11">
      <c r="B16" s="1" t="s">
        <v>168</v>
      </c>
      <c r="G16" s="73"/>
      <c r="H16" s="73"/>
      <c r="I16" s="73"/>
      <c r="J16" s="73"/>
      <c r="K16" s="73"/>
    </row>
    <row r="17" spans="2:11">
      <c r="B17" s="143" t="s">
        <v>418</v>
      </c>
      <c r="C17" s="142"/>
      <c r="D17" s="142"/>
      <c r="E17" s="142"/>
      <c r="F17" s="142"/>
      <c r="G17" s="142">
        <v>2703</v>
      </c>
      <c r="H17" s="142">
        <v>2390</v>
      </c>
      <c r="I17" s="142">
        <v>2294</v>
      </c>
      <c r="J17" s="142">
        <v>2908</v>
      </c>
      <c r="K17" s="142">
        <v>2276</v>
      </c>
    </row>
    <row r="18" spans="2:11">
      <c r="B18" s="143" t="s">
        <v>357</v>
      </c>
      <c r="C18" s="142"/>
      <c r="D18" s="142"/>
      <c r="E18" s="142"/>
      <c r="F18" s="142"/>
      <c r="G18" s="142">
        <v>3037</v>
      </c>
      <c r="H18" s="142">
        <v>2694</v>
      </c>
      <c r="I18" s="142">
        <v>3292</v>
      </c>
      <c r="J18" s="142">
        <v>2967</v>
      </c>
      <c r="K18" s="142">
        <v>2799</v>
      </c>
    </row>
    <row r="19" spans="2:11">
      <c r="B19" s="143" t="s">
        <v>364</v>
      </c>
      <c r="C19" s="142"/>
      <c r="D19" s="142"/>
      <c r="E19" s="142"/>
      <c r="F19" s="142"/>
      <c r="G19" s="142">
        <v>0</v>
      </c>
      <c r="H19" s="142">
        <v>0</v>
      </c>
      <c r="I19" s="142">
        <v>0</v>
      </c>
      <c r="J19" s="142">
        <v>0</v>
      </c>
      <c r="K19" s="142">
        <v>0</v>
      </c>
    </row>
    <row r="20" spans="2:11">
      <c r="B20" s="143" t="s">
        <v>365</v>
      </c>
      <c r="C20" s="142"/>
      <c r="D20" s="142"/>
      <c r="E20" s="142"/>
      <c r="F20" s="142"/>
      <c r="G20" s="142">
        <v>776</v>
      </c>
      <c r="H20" s="142">
        <v>1249</v>
      </c>
      <c r="I20" s="142">
        <v>602</v>
      </c>
      <c r="J20" s="142">
        <v>1170</v>
      </c>
      <c r="K20" s="142">
        <v>1094</v>
      </c>
    </row>
    <row r="21" spans="2:11">
      <c r="B21" s="143" t="s">
        <v>366</v>
      </c>
      <c r="C21" s="142"/>
      <c r="D21" s="142"/>
      <c r="E21" s="142"/>
      <c r="F21" s="142"/>
      <c r="G21" s="142">
        <v>2238</v>
      </c>
      <c r="H21" s="142">
        <v>2494</v>
      </c>
      <c r="I21" s="142">
        <v>2777</v>
      </c>
      <c r="J21" s="142">
        <v>2212</v>
      </c>
      <c r="K21" s="142">
        <v>1874</v>
      </c>
    </row>
    <row r="22" spans="2:11">
      <c r="B22" s="75" t="s">
        <v>169</v>
      </c>
      <c r="C22" s="2"/>
      <c r="D22" s="2"/>
      <c r="E22" s="2"/>
      <c r="F22" s="2"/>
      <c r="G22" s="201">
        <f>SUM(G17:G21)</f>
        <v>8754</v>
      </c>
      <c r="H22" s="201">
        <f t="shared" ref="H22:K22" si="1">SUM(H17:H21)</f>
        <v>8827</v>
      </c>
      <c r="I22" s="201">
        <f t="shared" si="1"/>
        <v>8965</v>
      </c>
      <c r="J22" s="201">
        <f t="shared" si="1"/>
        <v>9257</v>
      </c>
      <c r="K22" s="201">
        <f t="shared" si="1"/>
        <v>8043</v>
      </c>
    </row>
    <row r="23" spans="2:11">
      <c r="B23" s="122"/>
      <c r="C23" s="126"/>
      <c r="D23" s="126"/>
      <c r="E23" s="126"/>
      <c r="F23" s="126"/>
      <c r="G23" s="126"/>
      <c r="H23" s="73"/>
      <c r="I23" s="73"/>
      <c r="J23" s="73"/>
      <c r="K23" s="73"/>
    </row>
    <row r="24" spans="2:11" ht="16" thickBot="1">
      <c r="B24" s="79" t="s">
        <v>170</v>
      </c>
      <c r="C24" s="79"/>
      <c r="D24" s="79"/>
      <c r="E24" s="79"/>
      <c r="F24" s="79"/>
      <c r="G24" s="92">
        <f>G14-G22</f>
        <v>5458</v>
      </c>
      <c r="H24" s="92">
        <f t="shared" ref="H24:K24" si="2">H14-H22</f>
        <v>6040</v>
      </c>
      <c r="I24" s="92">
        <f t="shared" si="2"/>
        <v>7965</v>
      </c>
      <c r="J24" s="92">
        <f t="shared" si="2"/>
        <v>6033</v>
      </c>
      <c r="K24" s="92">
        <f t="shared" si="2"/>
        <v>4551</v>
      </c>
    </row>
    <row r="25" spans="2:11">
      <c r="G25" s="73"/>
      <c r="H25" s="73"/>
      <c r="I25" s="73"/>
      <c r="J25" s="73"/>
      <c r="K25" s="73"/>
    </row>
    <row r="26" spans="2:11">
      <c r="B26" s="1" t="s">
        <v>171</v>
      </c>
      <c r="G26" s="73"/>
      <c r="H26" s="73"/>
      <c r="I26" s="73"/>
      <c r="J26" s="73"/>
      <c r="K26" s="73"/>
    </row>
    <row r="27" spans="2:11">
      <c r="B27" s="144" t="s">
        <v>336</v>
      </c>
      <c r="C27" s="145"/>
      <c r="D27" s="145"/>
      <c r="E27" s="145"/>
      <c r="F27" s="145"/>
      <c r="G27" s="202">
        <v>5311</v>
      </c>
      <c r="H27" s="202">
        <v>4587</v>
      </c>
      <c r="I27" s="202">
        <v>4825</v>
      </c>
      <c r="J27" s="202">
        <v>4944</v>
      </c>
      <c r="K27" s="202">
        <v>4404</v>
      </c>
    </row>
    <row r="28" spans="2:11">
      <c r="B28" s="144" t="s">
        <v>156</v>
      </c>
      <c r="C28" s="145"/>
      <c r="D28" s="145"/>
      <c r="E28" s="145"/>
      <c r="F28" s="145"/>
      <c r="G28" s="202">
        <v>2025</v>
      </c>
      <c r="H28" s="202">
        <v>2169</v>
      </c>
      <c r="I28" s="202">
        <v>2316</v>
      </c>
      <c r="J28" s="202">
        <v>2628</v>
      </c>
      <c r="K28" s="202">
        <v>2707</v>
      </c>
    </row>
    <row r="29" spans="2:11">
      <c r="B29" s="144" t="s">
        <v>153</v>
      </c>
      <c r="C29" s="146"/>
      <c r="D29" s="146"/>
      <c r="E29" s="146"/>
      <c r="F29" s="146"/>
      <c r="G29" s="202">
        <v>1164</v>
      </c>
      <c r="H29" s="202">
        <v>1002</v>
      </c>
      <c r="I29" s="202">
        <v>352</v>
      </c>
      <c r="J29" s="202">
        <v>429</v>
      </c>
      <c r="K29" s="202">
        <v>442</v>
      </c>
    </row>
    <row r="30" spans="2:11">
      <c r="B30" s="144" t="s">
        <v>341</v>
      </c>
      <c r="C30" s="146"/>
      <c r="D30" s="146"/>
      <c r="E30" s="146"/>
      <c r="F30" s="146"/>
      <c r="G30" s="202">
        <v>1257</v>
      </c>
      <c r="H30" s="202">
        <v>1208</v>
      </c>
      <c r="I30" s="202">
        <v>1228</v>
      </c>
      <c r="J30" s="202">
        <v>1260</v>
      </c>
      <c r="K30" s="202">
        <v>1238</v>
      </c>
    </row>
    <row r="31" spans="2:11">
      <c r="B31" s="144" t="s">
        <v>608</v>
      </c>
      <c r="C31" s="146"/>
      <c r="D31" s="146"/>
      <c r="E31" s="146"/>
      <c r="F31" s="146"/>
      <c r="G31" s="202">
        <v>150</v>
      </c>
      <c r="H31" s="202">
        <v>166</v>
      </c>
      <c r="I31" s="202">
        <v>0</v>
      </c>
      <c r="J31" s="202">
        <v>0</v>
      </c>
      <c r="K31" s="202">
        <v>0</v>
      </c>
    </row>
    <row r="32" spans="2:11">
      <c r="B32" s="144" t="s">
        <v>609</v>
      </c>
      <c r="C32" s="146"/>
      <c r="D32" s="146"/>
      <c r="E32" s="146"/>
      <c r="F32" s="146"/>
      <c r="G32" s="202">
        <v>510</v>
      </c>
      <c r="H32" s="202">
        <v>478</v>
      </c>
      <c r="I32" s="202">
        <v>397</v>
      </c>
      <c r="J32" s="202">
        <v>634</v>
      </c>
      <c r="K32" s="202">
        <v>717</v>
      </c>
    </row>
    <row r="33" spans="2:11">
      <c r="B33" s="71" t="s">
        <v>342</v>
      </c>
      <c r="C33" s="71"/>
      <c r="D33" s="71"/>
      <c r="E33" s="71"/>
      <c r="F33" s="71"/>
      <c r="G33" s="142">
        <v>1354</v>
      </c>
      <c r="H33" s="142">
        <v>1458</v>
      </c>
      <c r="I33" s="142">
        <v>1391</v>
      </c>
      <c r="J33" s="142">
        <v>1297</v>
      </c>
      <c r="K33" s="142">
        <v>1410</v>
      </c>
    </row>
    <row r="34" spans="2:11" ht="16" thickBot="1">
      <c r="B34" s="203" t="s">
        <v>89</v>
      </c>
      <c r="C34" s="203"/>
      <c r="D34" s="203"/>
      <c r="E34" s="203"/>
      <c r="F34" s="203"/>
      <c r="G34" s="204">
        <v>1257</v>
      </c>
      <c r="H34" s="204">
        <v>1208</v>
      </c>
      <c r="I34" s="204">
        <v>1228</v>
      </c>
      <c r="J34" s="204">
        <v>1260</v>
      </c>
      <c r="K34" s="204">
        <v>1238</v>
      </c>
    </row>
    <row r="35" spans="2:11">
      <c r="B35" s="195" t="s">
        <v>688</v>
      </c>
      <c r="C35" s="195"/>
      <c r="D35" s="195"/>
      <c r="E35" s="195"/>
      <c r="F35" s="195"/>
      <c r="G35" s="205">
        <f>SUM(G27:G34)</f>
        <v>13028</v>
      </c>
      <c r="H35" s="205">
        <f t="shared" ref="H35:K35" si="3">SUM(H27:H34)</f>
        <v>12276</v>
      </c>
      <c r="I35" s="205">
        <f t="shared" si="3"/>
        <v>11737</v>
      </c>
      <c r="J35" s="205">
        <f t="shared" si="3"/>
        <v>12452</v>
      </c>
      <c r="K35" s="205">
        <f t="shared" si="3"/>
        <v>12156</v>
      </c>
    </row>
    <row r="36" spans="2:11">
      <c r="G36" s="73"/>
      <c r="H36" s="73"/>
      <c r="I36" s="73"/>
      <c r="J36" s="73"/>
      <c r="K36" s="73"/>
    </row>
    <row r="37" spans="2:11">
      <c r="B37" s="1" t="s">
        <v>173</v>
      </c>
      <c r="C37" s="1"/>
      <c r="D37" s="1"/>
      <c r="E37" s="1"/>
      <c r="F37" s="1"/>
      <c r="G37" s="74">
        <f>G35+G24</f>
        <v>18486</v>
      </c>
      <c r="H37" s="74">
        <f t="shared" ref="H37:K37" si="4">H35+H24</f>
        <v>18316</v>
      </c>
      <c r="I37" s="74">
        <f t="shared" si="4"/>
        <v>19702</v>
      </c>
      <c r="J37" s="74">
        <f t="shared" si="4"/>
        <v>18485</v>
      </c>
      <c r="K37" s="74">
        <f t="shared" si="4"/>
        <v>16707</v>
      </c>
    </row>
    <row r="38" spans="2:11">
      <c r="B38" s="1" t="s">
        <v>174</v>
      </c>
      <c r="C38" s="1"/>
      <c r="D38" s="1"/>
      <c r="E38" s="1"/>
      <c r="F38" s="1"/>
      <c r="G38" s="206">
        <v>2731</v>
      </c>
      <c r="H38" s="206">
        <v>715</v>
      </c>
      <c r="I38" s="206">
        <v>2611</v>
      </c>
      <c r="J38" s="206">
        <v>1014</v>
      </c>
      <c r="K38" s="206">
        <v>287</v>
      </c>
    </row>
    <row r="40" spans="2:11" ht="16" thickBot="1">
      <c r="B40" s="79" t="s">
        <v>165</v>
      </c>
      <c r="C40" s="80"/>
      <c r="D40" s="80"/>
      <c r="E40" s="80"/>
      <c r="F40" s="80"/>
      <c r="G40" s="81">
        <f>G38/G37</f>
        <v>0.14773341988531863</v>
      </c>
      <c r="H40" s="81">
        <f t="shared" ref="H40:K40" si="5">H38/H37</f>
        <v>3.9036907621751472E-2</v>
      </c>
      <c r="I40" s="81">
        <f t="shared" si="5"/>
        <v>0.13252461679017358</v>
      </c>
      <c r="J40" s="81">
        <f t="shared" si="5"/>
        <v>5.4855288071409249E-2</v>
      </c>
      <c r="K40" s="81">
        <f t="shared" si="5"/>
        <v>1.7178428203746932E-2</v>
      </c>
    </row>
    <row r="43" spans="2:11">
      <c r="B43" s="43" t="s">
        <v>175</v>
      </c>
      <c r="C43" s="44"/>
      <c r="D43" s="44"/>
      <c r="E43" s="44"/>
      <c r="F43" s="44"/>
      <c r="G43" s="67">
        <f>G4</f>
        <v>43586</v>
      </c>
      <c r="H43" s="67">
        <f t="shared" ref="H43:K43" si="6">H4</f>
        <v>43952</v>
      </c>
      <c r="I43" s="67">
        <f t="shared" si="6"/>
        <v>44317</v>
      </c>
      <c r="J43" s="67">
        <f t="shared" si="6"/>
        <v>44682</v>
      </c>
      <c r="K43" s="67">
        <f t="shared" si="6"/>
        <v>45047</v>
      </c>
    </row>
    <row r="45" spans="2:11">
      <c r="B45" s="71" t="s">
        <v>176</v>
      </c>
      <c r="C45" s="71"/>
      <c r="D45" s="71"/>
      <c r="E45" s="71"/>
      <c r="F45" s="71"/>
      <c r="G45" s="72">
        <v>708</v>
      </c>
      <c r="H45" s="72">
        <v>443</v>
      </c>
      <c r="I45" s="72">
        <v>667</v>
      </c>
      <c r="J45" s="72">
        <v>695</v>
      </c>
      <c r="K45" s="72">
        <v>504</v>
      </c>
    </row>
    <row r="46" spans="2:11">
      <c r="B46" s="71" t="s">
        <v>201</v>
      </c>
      <c r="C46" s="71"/>
      <c r="D46" s="71"/>
      <c r="E46" s="71"/>
      <c r="F46" s="71"/>
      <c r="G46" s="72"/>
      <c r="H46" s="72">
        <f>H24-G24</f>
        <v>582</v>
      </c>
      <c r="I46" s="72">
        <f>I24-H24</f>
        <v>1925</v>
      </c>
      <c r="J46" s="72">
        <f>J24-I24</f>
        <v>-1932</v>
      </c>
      <c r="K46" s="72">
        <f>K24-J24</f>
        <v>-1482</v>
      </c>
    </row>
    <row r="47" spans="2:11">
      <c r="B47" s="71"/>
      <c r="C47" s="71"/>
      <c r="D47" s="71"/>
      <c r="E47" s="71"/>
      <c r="F47" s="71"/>
      <c r="G47" s="72"/>
      <c r="H47" s="72"/>
      <c r="I47" s="72"/>
      <c r="J47" s="72"/>
      <c r="K47" s="72"/>
    </row>
    <row r="48" spans="2:11">
      <c r="B48" s="71" t="s">
        <v>174</v>
      </c>
      <c r="C48" s="71"/>
      <c r="D48" s="71"/>
      <c r="E48" s="71"/>
      <c r="F48" s="71"/>
      <c r="G48" s="72">
        <f>G38</f>
        <v>2731</v>
      </c>
      <c r="H48" s="72">
        <f t="shared" ref="H48:K48" si="7">H38</f>
        <v>715</v>
      </c>
      <c r="I48" s="72">
        <f t="shared" si="7"/>
        <v>2611</v>
      </c>
      <c r="J48" s="72">
        <f t="shared" si="7"/>
        <v>1014</v>
      </c>
      <c r="K48" s="72">
        <f t="shared" si="7"/>
        <v>287</v>
      </c>
    </row>
    <row r="49" spans="2:11">
      <c r="B49" s="71" t="s">
        <v>202</v>
      </c>
      <c r="C49" s="71"/>
      <c r="D49" s="71"/>
      <c r="E49" s="71"/>
      <c r="F49" s="71"/>
      <c r="G49" s="93">
        <v>0.15</v>
      </c>
      <c r="H49" s="93">
        <v>0.15</v>
      </c>
      <c r="I49" s="93">
        <v>0.15</v>
      </c>
      <c r="J49" s="93">
        <v>0.15</v>
      </c>
      <c r="K49" s="93">
        <v>0.15</v>
      </c>
    </row>
    <row r="50" spans="2:11">
      <c r="B50" s="71" t="s">
        <v>204</v>
      </c>
      <c r="C50" s="71"/>
      <c r="D50" s="71"/>
      <c r="E50" s="71"/>
      <c r="F50" s="71"/>
      <c r="G50" s="94">
        <f>G48*(1-G49)</f>
        <v>2321.35</v>
      </c>
      <c r="H50" s="94">
        <f t="shared" ref="H50:K50" si="8">H48*(1-H49)</f>
        <v>607.75</v>
      </c>
      <c r="I50" s="94">
        <f t="shared" si="8"/>
        <v>2219.35</v>
      </c>
      <c r="J50" s="94">
        <f t="shared" si="8"/>
        <v>861.9</v>
      </c>
      <c r="K50" s="94">
        <f t="shared" si="8"/>
        <v>243.95</v>
      </c>
    </row>
    <row r="51" spans="2:11">
      <c r="B51" s="71"/>
      <c r="C51" s="71"/>
      <c r="D51" s="71"/>
      <c r="E51" s="71"/>
      <c r="F51" s="71"/>
      <c r="G51" s="72"/>
      <c r="H51" s="72"/>
      <c r="I51" s="72"/>
      <c r="J51" s="72"/>
      <c r="K51" s="72"/>
    </row>
    <row r="52" spans="2:11">
      <c r="B52" s="71" t="s">
        <v>203</v>
      </c>
      <c r="C52" s="71"/>
      <c r="D52" s="71"/>
      <c r="E52" s="71"/>
      <c r="F52" s="71"/>
      <c r="G52" s="72"/>
      <c r="H52" s="72">
        <f>SUM(H45:H46)</f>
        <v>1025</v>
      </c>
      <c r="I52" s="72">
        <f t="shared" ref="I52:K52" si="9">SUM(I45:I46)</f>
        <v>2592</v>
      </c>
      <c r="J52" s="72">
        <f t="shared" si="9"/>
        <v>-1237</v>
      </c>
      <c r="K52" s="72">
        <f t="shared" si="9"/>
        <v>-978</v>
      </c>
    </row>
    <row r="53" spans="2:11">
      <c r="H53" s="66"/>
      <c r="I53" s="66"/>
      <c r="J53" s="66"/>
      <c r="K53" s="66"/>
    </row>
    <row r="54" spans="2:11" ht="16" thickBot="1">
      <c r="B54" s="79" t="s">
        <v>205</v>
      </c>
      <c r="C54" s="79"/>
      <c r="D54" s="79"/>
      <c r="E54" s="79"/>
      <c r="F54" s="79"/>
      <c r="G54" s="79"/>
      <c r="H54" s="81">
        <f>H52/H50</f>
        <v>1.6865487453722747</v>
      </c>
      <c r="I54" s="81">
        <f t="shared" ref="I54:K54" si="10">I52/I50</f>
        <v>1.1679095230585532</v>
      </c>
      <c r="J54" s="81">
        <f t="shared" si="10"/>
        <v>-1.4352012994546932</v>
      </c>
      <c r="K54" s="81">
        <f t="shared" si="10"/>
        <v>-4.0090182414429192</v>
      </c>
    </row>
    <row r="55" spans="2:11">
      <c r="H55" s="12"/>
      <c r="I55" s="12"/>
      <c r="J55" s="12"/>
      <c r="K55" s="12"/>
    </row>
    <row r="56" spans="2:11">
      <c r="J56" s="52" t="s">
        <v>206</v>
      </c>
      <c r="K56" s="53">
        <f>AVERAGE(H54:K54)</f>
        <v>-0.64744031811669611</v>
      </c>
    </row>
    <row r="57" spans="2:11">
      <c r="J57" s="52" t="s">
        <v>207</v>
      </c>
      <c r="K57" s="53">
        <f>MEDIAN(H54:K54)</f>
        <v>-0.13364588819807</v>
      </c>
    </row>
    <row r="59" spans="2:11">
      <c r="B59" s="43" t="s">
        <v>208</v>
      </c>
      <c r="C59" s="44"/>
      <c r="D59" s="44"/>
      <c r="E59" s="44"/>
      <c r="F59" s="44"/>
      <c r="G59" s="67">
        <f>G4</f>
        <v>43586</v>
      </c>
      <c r="H59" s="67">
        <f t="shared" ref="H59:K59" si="11">H4</f>
        <v>43952</v>
      </c>
      <c r="I59" s="67">
        <f t="shared" si="11"/>
        <v>44317</v>
      </c>
      <c r="J59" s="67">
        <f t="shared" si="11"/>
        <v>44682</v>
      </c>
      <c r="K59" s="67">
        <f t="shared" si="11"/>
        <v>45047</v>
      </c>
    </row>
    <row r="61" spans="2:11">
      <c r="B61" s="71" t="s">
        <v>205</v>
      </c>
      <c r="C61" s="71"/>
      <c r="D61" s="71"/>
      <c r="E61" s="71"/>
      <c r="F61" s="71"/>
      <c r="G61" s="71"/>
      <c r="H61" s="95">
        <f>H54</f>
        <v>1.6865487453722747</v>
      </c>
      <c r="I61" s="95">
        <f t="shared" ref="I61:K61" si="12">I54</f>
        <v>1.1679095230585532</v>
      </c>
      <c r="J61" s="95">
        <f t="shared" si="12"/>
        <v>-1.4352012994546932</v>
      </c>
      <c r="K61" s="95">
        <f t="shared" si="12"/>
        <v>-4.0090182414429192</v>
      </c>
    </row>
    <row r="62" spans="2:11">
      <c r="B62" s="71" t="s">
        <v>165</v>
      </c>
      <c r="C62" s="71"/>
      <c r="D62" s="71"/>
      <c r="E62" s="71"/>
      <c r="F62" s="71"/>
      <c r="G62" s="71"/>
      <c r="H62" s="95">
        <f>H40</f>
        <v>3.9036907621751472E-2</v>
      </c>
      <c r="I62" s="95">
        <f t="shared" ref="I62:K62" si="13">I40</f>
        <v>0.13252461679017358</v>
      </c>
      <c r="J62" s="95">
        <f t="shared" si="13"/>
        <v>5.4855288071409249E-2</v>
      </c>
      <c r="K62" s="95">
        <f t="shared" si="13"/>
        <v>1.7178428203746932E-2</v>
      </c>
    </row>
    <row r="64" spans="2:11" ht="16" thickBot="1">
      <c r="B64" s="79" t="s">
        <v>209</v>
      </c>
      <c r="C64" s="79"/>
      <c r="D64" s="79"/>
      <c r="E64" s="79"/>
      <c r="F64" s="79"/>
      <c r="G64" s="79"/>
      <c r="H64" s="96">
        <f>H61*H62</f>
        <v>6.5837647572678334E-2</v>
      </c>
      <c r="I64" s="96">
        <f t="shared" ref="I64:K64" si="14">I61*I62</f>
        <v>0.15477676198892915</v>
      </c>
      <c r="J64" s="96">
        <f>J61*J62</f>
        <v>-7.8728380722048089E-2</v>
      </c>
      <c r="K64" s="96">
        <f t="shared" si="14"/>
        <v>-6.8868632028138962E-2</v>
      </c>
    </row>
    <row r="66" spans="10:11">
      <c r="J66" s="52" t="s">
        <v>206</v>
      </c>
      <c r="K66" s="53">
        <f>AVERAGE(H64:K64)</f>
        <v>1.8254349202855114E-2</v>
      </c>
    </row>
    <row r="67" spans="10:11">
      <c r="J67" s="52" t="s">
        <v>207</v>
      </c>
      <c r="K67" s="53">
        <f>MEDIAN(H64:K64)</f>
        <v>-1.515492227730314E-3</v>
      </c>
    </row>
  </sheetData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NIKE&gt;</vt:lpstr>
      <vt:lpstr>Beta - Regression</vt:lpstr>
      <vt:lpstr>Rm</vt:lpstr>
      <vt:lpstr>WACC</vt:lpstr>
      <vt:lpstr>Intrisic Growth</vt:lpstr>
      <vt:lpstr>DCF</vt:lpstr>
      <vt:lpstr>ADIDAS&gt;</vt:lpstr>
      <vt:lpstr>WACC_ADS</vt:lpstr>
      <vt:lpstr>Intrisic Growth_ADS</vt:lpstr>
      <vt:lpstr>DCF_ADS</vt:lpstr>
      <vt:lpstr>Relative Pricing</vt:lpstr>
      <vt:lpstr>Data Room&gt;</vt:lpstr>
      <vt:lpstr>Data Sheet_NKE</vt:lpstr>
      <vt:lpstr>Data Sheet_ADS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diyan jain</cp:lastModifiedBy>
  <cp:lastPrinted>2023-02-21T19:04:51Z</cp:lastPrinted>
  <dcterms:created xsi:type="dcterms:W3CDTF">2023-02-06T14:53:36Z</dcterms:created>
  <dcterms:modified xsi:type="dcterms:W3CDTF">2024-06-30T11:44:42Z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