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rce\Documents\eagle\MultiSpork\MultiSpork\documentation\"/>
    </mc:Choice>
  </mc:AlternateContent>
  <bookViews>
    <workbookView xWindow="0" yWindow="0" windowWidth="15528" windowHeight="6264" firstSheet="2" activeTab="3"/>
  </bookViews>
  <sheets>
    <sheet name="+10V regulator (LT3580)" sheetId="1" r:id="rId1"/>
    <sheet name="3.3V SEPIC regulator" sheetId="5" r:id="rId2"/>
    <sheet name="+5V SEPIC regulator" sheetId="3" r:id="rId3"/>
    <sheet name="-10V regulator" sheetId="2" r:id="rId4"/>
    <sheet name="+10V regulator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3" l="1"/>
  <c r="B7" i="5"/>
  <c r="B9" i="3"/>
  <c r="B8" i="3"/>
  <c r="B7" i="3"/>
  <c r="B24" i="3" l="1"/>
  <c r="B15" i="3"/>
  <c r="B16" i="3"/>
  <c r="B17" i="3"/>
  <c r="B25" i="3"/>
  <c r="B18" i="3"/>
  <c r="B19" i="3"/>
  <c r="B12" i="3"/>
  <c r="B13" i="3" s="1"/>
  <c r="B22" i="3"/>
  <c r="B23" i="3"/>
  <c r="B14" i="3"/>
  <c r="B9" i="5"/>
  <c r="B8" i="5"/>
  <c r="B12" i="5"/>
  <c r="B13" i="5" s="1"/>
  <c r="B10" i="5"/>
  <c r="B17" i="4"/>
  <c r="B9" i="4"/>
  <c r="B8" i="4"/>
  <c r="B11" i="4" s="1"/>
  <c r="B14" i="4" s="1"/>
  <c r="B6" i="4"/>
  <c r="B6" i="2"/>
  <c r="B8" i="1"/>
  <c r="B14" i="1" s="1"/>
  <c r="B7" i="1"/>
  <c r="B13" i="1" s="1"/>
  <c r="B5" i="2"/>
  <c r="B7" i="2"/>
  <c r="B9" i="2" s="1"/>
  <c r="B10" i="2" s="1"/>
  <c r="B9" i="1"/>
  <c r="B6" i="1"/>
  <c r="B22" i="5" l="1"/>
  <c r="B23" i="5"/>
  <c r="B18" i="5"/>
  <c r="B24" i="5"/>
  <c r="B25" i="5"/>
  <c r="B15" i="5"/>
  <c r="B14" i="5"/>
  <c r="B17" i="5"/>
  <c r="B16" i="5"/>
  <c r="B19" i="5"/>
  <c r="B12" i="4"/>
  <c r="B15" i="4" s="1"/>
  <c r="B18" i="1"/>
  <c r="B12" i="2"/>
  <c r="B17" i="2"/>
  <c r="B16" i="2"/>
  <c r="B11" i="2"/>
  <c r="B15" i="1"/>
  <c r="B13" i="2"/>
  <c r="B20" i="1"/>
  <c r="B16" i="1"/>
  <c r="B17" i="1"/>
  <c r="B11" i="1"/>
  <c r="B12" i="1" s="1"/>
</calcChain>
</file>

<file path=xl/sharedStrings.xml><?xml version="1.0" encoding="utf-8"?>
<sst xmlns="http://schemas.openxmlformats.org/spreadsheetml/2006/main" count="331" uniqueCount="77">
  <si>
    <t>V</t>
  </si>
  <si>
    <r>
      <t>R</t>
    </r>
    <r>
      <rPr>
        <vertAlign val="subscript"/>
        <sz val="11"/>
        <color theme="1"/>
        <rFont val="Calibri"/>
        <family val="2"/>
        <scheme val="minor"/>
      </rPr>
      <t>fb</t>
    </r>
  </si>
  <si>
    <r>
      <t>V</t>
    </r>
    <r>
      <rPr>
        <vertAlign val="subscript"/>
        <sz val="11"/>
        <color theme="1"/>
        <rFont val="Calibri"/>
        <family val="2"/>
        <scheme val="minor"/>
      </rPr>
      <t>out</t>
    </r>
  </si>
  <si>
    <t>kΩ</t>
  </si>
  <si>
    <r>
      <t>V</t>
    </r>
    <r>
      <rPr>
        <vertAlign val="subscript"/>
        <sz val="11"/>
        <color theme="1"/>
        <rFont val="Calibri"/>
        <family val="2"/>
        <scheme val="minor"/>
      </rPr>
      <t>in(bat)</t>
    </r>
  </si>
  <si>
    <r>
      <t>V</t>
    </r>
    <r>
      <rPr>
        <vertAlign val="subscript"/>
        <sz val="11"/>
        <color theme="1"/>
        <rFont val="Calibri"/>
        <family val="2"/>
        <scheme val="minor"/>
      </rPr>
      <t>in(USB)</t>
    </r>
  </si>
  <si>
    <r>
      <t>DC</t>
    </r>
    <r>
      <rPr>
        <vertAlign val="subscript"/>
        <sz val="11"/>
        <color theme="1"/>
        <rFont val="Calibri"/>
        <family val="2"/>
        <scheme val="minor"/>
      </rPr>
      <t>bat</t>
    </r>
  </si>
  <si>
    <r>
      <t>DC</t>
    </r>
    <r>
      <rPr>
        <vertAlign val="subscript"/>
        <sz val="11"/>
        <color theme="1"/>
        <rFont val="Calibri"/>
        <family val="2"/>
        <scheme val="minor"/>
      </rPr>
      <t>USB</t>
    </r>
  </si>
  <si>
    <r>
      <t>f</t>
    </r>
    <r>
      <rPr>
        <vertAlign val="subscript"/>
        <sz val="11"/>
        <color theme="1"/>
        <rFont val="Calibri"/>
        <family val="2"/>
        <scheme val="minor"/>
      </rPr>
      <t>OSC</t>
    </r>
  </si>
  <si>
    <t>MHz</t>
  </si>
  <si>
    <r>
      <t>R</t>
    </r>
    <r>
      <rPr>
        <vertAlign val="subscript"/>
        <sz val="11"/>
        <color theme="1"/>
        <rFont val="Calibri"/>
        <family val="2"/>
        <scheme val="minor"/>
      </rPr>
      <t>T</t>
    </r>
  </si>
  <si>
    <r>
      <t>DC</t>
    </r>
    <r>
      <rPr>
        <vertAlign val="subscript"/>
        <sz val="11"/>
        <color theme="1"/>
        <rFont val="Calibri"/>
        <family val="2"/>
        <scheme val="minor"/>
      </rPr>
      <t>max</t>
    </r>
  </si>
  <si>
    <r>
      <t>T</t>
    </r>
    <r>
      <rPr>
        <vertAlign val="subscript"/>
        <sz val="11"/>
        <color theme="1"/>
        <rFont val="Calibri"/>
        <family val="2"/>
        <scheme val="minor"/>
      </rPr>
      <t>p</t>
    </r>
  </si>
  <si>
    <t>ns</t>
  </si>
  <si>
    <t>Clock period, ns</t>
  </si>
  <si>
    <t>Max allowable duty cycle</t>
  </si>
  <si>
    <t>Duty cycle on USB power</t>
  </si>
  <si>
    <t>Duty cycle on minimum battery power</t>
  </si>
  <si>
    <t>Output voltage</t>
  </si>
  <si>
    <t>USB bus voltage</t>
  </si>
  <si>
    <t>Minimum battery voltage, after diode</t>
  </si>
  <si>
    <t>A</t>
  </si>
  <si>
    <t>Maximum current</t>
  </si>
  <si>
    <t>µH</t>
  </si>
  <si>
    <t>Value to prevent subharmonics</t>
  </si>
  <si>
    <r>
      <t>I</t>
    </r>
    <r>
      <rPr>
        <vertAlign val="subscript"/>
        <sz val="11"/>
        <color theme="1"/>
        <rFont val="Calibri"/>
        <family val="2"/>
        <scheme val="minor"/>
      </rPr>
      <t>out(max)</t>
    </r>
  </si>
  <si>
    <r>
      <t>I</t>
    </r>
    <r>
      <rPr>
        <vertAlign val="subscript"/>
        <sz val="11"/>
        <color theme="1"/>
        <rFont val="Calibri"/>
        <family val="2"/>
        <scheme val="minor"/>
      </rPr>
      <t>L-peak</t>
    </r>
  </si>
  <si>
    <r>
      <t>L</t>
    </r>
    <r>
      <rPr>
        <vertAlign val="subscript"/>
        <sz val="11"/>
        <color theme="1"/>
        <rFont val="Calibri"/>
        <family val="2"/>
        <scheme val="minor"/>
      </rPr>
      <t>max(USB)</t>
    </r>
  </si>
  <si>
    <r>
      <t>L</t>
    </r>
    <r>
      <rPr>
        <vertAlign val="subscript"/>
        <sz val="11"/>
        <color theme="1"/>
        <rFont val="Calibri"/>
        <family val="2"/>
        <scheme val="minor"/>
      </rPr>
      <t>max(bat)</t>
    </r>
  </si>
  <si>
    <r>
      <t>L</t>
    </r>
    <r>
      <rPr>
        <vertAlign val="subscript"/>
        <sz val="11"/>
        <color theme="1"/>
        <rFont val="Calibri"/>
        <family val="2"/>
        <scheme val="minor"/>
      </rPr>
      <t>min(bat)</t>
    </r>
  </si>
  <si>
    <r>
      <t>L</t>
    </r>
    <r>
      <rPr>
        <vertAlign val="subscript"/>
        <sz val="11"/>
        <color theme="1"/>
        <rFont val="Calibri"/>
        <family val="2"/>
        <scheme val="minor"/>
      </rPr>
      <t>min(USB)</t>
    </r>
  </si>
  <si>
    <r>
      <t>L</t>
    </r>
    <r>
      <rPr>
        <vertAlign val="subscript"/>
        <sz val="11"/>
        <color theme="1"/>
        <rFont val="Calibri"/>
        <family val="2"/>
        <scheme val="minor"/>
      </rPr>
      <t>final</t>
    </r>
  </si>
  <si>
    <t>Selected value</t>
  </si>
  <si>
    <t>µF</t>
  </si>
  <si>
    <r>
      <t>C</t>
    </r>
    <r>
      <rPr>
        <vertAlign val="subscript"/>
        <sz val="11"/>
        <color theme="1"/>
        <rFont val="Calibri"/>
        <family val="2"/>
        <scheme val="minor"/>
      </rPr>
      <t>in</t>
    </r>
  </si>
  <si>
    <r>
      <t>C</t>
    </r>
    <r>
      <rPr>
        <vertAlign val="subscript"/>
        <sz val="11"/>
        <color theme="1"/>
        <rFont val="Calibri"/>
        <family val="2"/>
        <scheme val="minor"/>
      </rPr>
      <t>out</t>
    </r>
  </si>
  <si>
    <r>
      <t>C</t>
    </r>
    <r>
      <rPr>
        <vertAlign val="subscript"/>
        <sz val="11"/>
        <color theme="1"/>
        <rFont val="Calibri"/>
        <family val="2"/>
        <scheme val="minor"/>
      </rPr>
      <t>series</t>
    </r>
  </si>
  <si>
    <r>
      <t>C</t>
    </r>
    <r>
      <rPr>
        <vertAlign val="subscript"/>
        <sz val="11"/>
        <color theme="1"/>
        <rFont val="Calibri"/>
        <family val="2"/>
        <scheme val="minor"/>
      </rPr>
      <t>parallel</t>
    </r>
  </si>
  <si>
    <r>
      <t>R</t>
    </r>
    <r>
      <rPr>
        <vertAlign val="subscript"/>
        <sz val="11"/>
        <color theme="1"/>
        <rFont val="Calibri"/>
        <family val="2"/>
        <scheme val="minor"/>
      </rPr>
      <t>series</t>
    </r>
  </si>
  <si>
    <t>pF</t>
  </si>
  <si>
    <t>nF</t>
  </si>
  <si>
    <t>Note that these are taken from the SEPIC converter in datasheet rather than calculated. They'll be done properly later.</t>
  </si>
  <si>
    <r>
      <t>|V</t>
    </r>
    <r>
      <rPr>
        <vertAlign val="subscript"/>
        <sz val="11"/>
        <color theme="1"/>
        <rFont val="Calibri"/>
        <family val="2"/>
        <scheme val="minor"/>
      </rPr>
      <t>out</t>
    </r>
    <r>
      <rPr>
        <sz val="11"/>
        <color theme="1"/>
        <rFont val="Calibri"/>
        <family val="2"/>
        <scheme val="minor"/>
      </rPr>
      <t>|</t>
    </r>
  </si>
  <si>
    <r>
      <t>I</t>
    </r>
    <r>
      <rPr>
        <vertAlign val="subscript"/>
        <sz val="11"/>
        <color theme="1"/>
        <rFont val="Calibri"/>
        <family val="2"/>
        <scheme val="minor"/>
      </rPr>
      <t>L1-peak</t>
    </r>
  </si>
  <si>
    <r>
      <t>I</t>
    </r>
    <r>
      <rPr>
        <vertAlign val="subscript"/>
        <sz val="11"/>
        <color theme="1"/>
        <rFont val="Calibri"/>
        <family val="2"/>
        <scheme val="minor"/>
      </rPr>
      <t>L2-peak</t>
    </r>
  </si>
  <si>
    <r>
      <t>L</t>
    </r>
    <r>
      <rPr>
        <vertAlign val="subscript"/>
        <sz val="11"/>
        <color theme="1"/>
        <rFont val="Calibri"/>
        <family val="2"/>
        <scheme val="minor"/>
      </rPr>
      <t>1-final</t>
    </r>
  </si>
  <si>
    <r>
      <t>L</t>
    </r>
    <r>
      <rPr>
        <vertAlign val="subscript"/>
        <sz val="11"/>
        <color theme="1"/>
        <rFont val="Calibri"/>
        <family val="2"/>
        <scheme val="minor"/>
      </rPr>
      <t>2-final</t>
    </r>
  </si>
  <si>
    <t>Part</t>
  </si>
  <si>
    <t>LT3580</t>
  </si>
  <si>
    <t>AD1614</t>
  </si>
  <si>
    <r>
      <t>R</t>
    </r>
    <r>
      <rPr>
        <vertAlign val="subscript"/>
        <sz val="11"/>
        <color theme="1"/>
        <rFont val="Calibri"/>
        <family val="2"/>
        <scheme val="minor"/>
      </rPr>
      <t>1fb</t>
    </r>
  </si>
  <si>
    <r>
      <t>R</t>
    </r>
    <r>
      <rPr>
        <vertAlign val="subscript"/>
        <sz val="11"/>
        <color theme="1"/>
        <rFont val="Calibri"/>
        <family val="2"/>
        <scheme val="minor"/>
      </rPr>
      <t>2fb</t>
    </r>
  </si>
  <si>
    <t>µs</t>
  </si>
  <si>
    <r>
      <t>T</t>
    </r>
    <r>
      <rPr>
        <vertAlign val="subscript"/>
        <sz val="11"/>
        <color theme="1"/>
        <rFont val="Calibri"/>
        <family val="2"/>
        <scheme val="minor"/>
      </rPr>
      <t>on(bat)</t>
    </r>
  </si>
  <si>
    <r>
      <t>T</t>
    </r>
    <r>
      <rPr>
        <vertAlign val="subscript"/>
        <sz val="11"/>
        <color theme="1"/>
        <rFont val="Calibri"/>
        <family val="2"/>
        <scheme val="minor"/>
      </rPr>
      <t>on(USB)</t>
    </r>
  </si>
  <si>
    <r>
      <t>I</t>
    </r>
    <r>
      <rPr>
        <vertAlign val="subscript"/>
        <sz val="11"/>
        <color theme="1"/>
        <rFont val="Calibri"/>
        <family val="2"/>
        <scheme val="minor"/>
      </rPr>
      <t>ripple(max)</t>
    </r>
  </si>
  <si>
    <r>
      <t>V</t>
    </r>
    <r>
      <rPr>
        <vertAlign val="subscript"/>
        <sz val="11"/>
        <color theme="1"/>
        <rFont val="Calibri"/>
        <family val="2"/>
        <scheme val="minor"/>
      </rPr>
      <t>d</t>
    </r>
  </si>
  <si>
    <t>Diode voltage drop</t>
  </si>
  <si>
    <t>2323 (5858 metric)</t>
  </si>
  <si>
    <t>SRR5018-3R9Y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</si>
  <si>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</si>
  <si>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</si>
  <si>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r>
      <t>I</t>
    </r>
    <r>
      <rPr>
        <vertAlign val="subscript"/>
        <sz val="11"/>
        <color theme="1"/>
        <rFont val="Calibri"/>
        <family val="2"/>
        <scheme val="minor"/>
      </rPr>
      <t>L1-peak(bat)</t>
    </r>
  </si>
  <si>
    <r>
      <t>I</t>
    </r>
    <r>
      <rPr>
        <vertAlign val="subscript"/>
        <sz val="11"/>
        <color theme="1"/>
        <rFont val="Calibri"/>
        <family val="2"/>
        <scheme val="minor"/>
      </rPr>
      <t>L2-peak(bat)</t>
    </r>
  </si>
  <si>
    <r>
      <t>I</t>
    </r>
    <r>
      <rPr>
        <vertAlign val="subscript"/>
        <sz val="11"/>
        <color theme="1"/>
        <rFont val="Calibri"/>
        <family val="2"/>
        <scheme val="minor"/>
      </rPr>
      <t>L1-peak(USB)</t>
    </r>
  </si>
  <si>
    <r>
      <t>I</t>
    </r>
    <r>
      <rPr>
        <vertAlign val="subscript"/>
        <sz val="11"/>
        <color theme="1"/>
        <rFont val="Calibri"/>
        <family val="2"/>
        <scheme val="minor"/>
      </rPr>
      <t>L2-peak(USB)</t>
    </r>
  </si>
  <si>
    <t>L p/n</t>
  </si>
  <si>
    <t>L package</t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</si>
  <si>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p/n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</si>
  <si>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package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</si>
  <si>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p/n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</si>
  <si>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package</t>
    </r>
  </si>
  <si>
    <t>1008 (2520 metric)</t>
  </si>
  <si>
    <t>252012CDMCDS-2R2MC</t>
  </si>
  <si>
    <t>SRR5028-5R3Y</t>
  </si>
  <si>
    <t>PM1008S-5R6M-RC</t>
  </si>
  <si>
    <t>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</si>
</sst>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opLeftCell="A8" workbookViewId="0">
      <selection activeCell="B27" sqref="B27:C27"/>
    </sheetView>
  </sheetViews>
  <sheetFormatPr defaultRowHeight="14.4" x14ac:dyDescent="0.3"/>
  <cols>
    <col min="1" max="1" width="9" bestFit="1" customWidth="1"/>
    <col min="4" max="4" width="32.44140625" bestFit="1" customWidth="1"/>
  </cols>
  <sheetData>
    <row r="1" spans="1:4" x14ac:dyDescent="0.3">
      <c r="A1" t="s">
        <v>47</v>
      </c>
      <c r="B1" s="7" t="s">
        <v>48</v>
      </c>
      <c r="C1" s="7"/>
    </row>
    <row r="2" spans="1:4" ht="15.6" x14ac:dyDescent="0.35">
      <c r="A2" t="s">
        <v>2</v>
      </c>
      <c r="B2">
        <v>10</v>
      </c>
      <c r="C2" t="s">
        <v>0</v>
      </c>
      <c r="D2" t="s">
        <v>18</v>
      </c>
    </row>
    <row r="3" spans="1:4" ht="15.6" x14ac:dyDescent="0.35">
      <c r="A3" t="s">
        <v>25</v>
      </c>
      <c r="B3">
        <v>0.35</v>
      </c>
      <c r="C3" t="s">
        <v>21</v>
      </c>
      <c r="D3" t="s">
        <v>22</v>
      </c>
    </row>
    <row r="4" spans="1:4" ht="15.6" x14ac:dyDescent="0.35">
      <c r="A4" t="s">
        <v>4</v>
      </c>
      <c r="B4">
        <v>2.5</v>
      </c>
      <c r="C4" t="s">
        <v>0</v>
      </c>
      <c r="D4" t="s">
        <v>20</v>
      </c>
    </row>
    <row r="5" spans="1:4" ht="15.6" x14ac:dyDescent="0.35">
      <c r="A5" t="s">
        <v>5</v>
      </c>
      <c r="B5">
        <v>5</v>
      </c>
      <c r="C5" t="s">
        <v>0</v>
      </c>
      <c r="D5" t="s">
        <v>19</v>
      </c>
    </row>
    <row r="6" spans="1:4" ht="15.6" x14ac:dyDescent="0.35">
      <c r="A6" t="s">
        <v>1</v>
      </c>
      <c r="B6" s="3">
        <f>((B2-1.215)/0.0000833)/1000</f>
        <v>105.46218487394958</v>
      </c>
      <c r="C6" s="1" t="s">
        <v>3</v>
      </c>
    </row>
    <row r="7" spans="1:4" ht="15.6" x14ac:dyDescent="0.35">
      <c r="A7" t="s">
        <v>6</v>
      </c>
      <c r="B7" s="2">
        <f>($B$2-$B$4+0.7)/($B$2+0.7-0.3)</f>
        <v>0.78846153846153855</v>
      </c>
      <c r="D7" t="s">
        <v>17</v>
      </c>
    </row>
    <row r="8" spans="1:4" ht="15.6" x14ac:dyDescent="0.35">
      <c r="A8" t="s">
        <v>7</v>
      </c>
      <c r="B8" s="2">
        <f>($B$2-$B$5+0.7)/($B$2+0.7-0.3)</f>
        <v>0.54807692307692313</v>
      </c>
      <c r="D8" t="s">
        <v>16</v>
      </c>
    </row>
    <row r="9" spans="1:4" ht="15.6" x14ac:dyDescent="0.35">
      <c r="A9" t="s">
        <v>8</v>
      </c>
      <c r="B9">
        <f>91.9/(B10+1)</f>
        <v>1.9145833333333335</v>
      </c>
      <c r="C9" t="s">
        <v>9</v>
      </c>
    </row>
    <row r="10" spans="1:4" ht="15.6" x14ac:dyDescent="0.35">
      <c r="A10" t="s">
        <v>10</v>
      </c>
      <c r="B10" s="2">
        <v>47</v>
      </c>
      <c r="C10" s="1" t="s">
        <v>3</v>
      </c>
    </row>
    <row r="11" spans="1:4" ht="15.6" x14ac:dyDescent="0.35">
      <c r="A11" t="s">
        <v>12</v>
      </c>
      <c r="B11" s="2">
        <f>(1/B9)*1000</f>
        <v>522.30685527747539</v>
      </c>
      <c r="C11" s="1" t="s">
        <v>13</v>
      </c>
      <c r="D11" t="s">
        <v>14</v>
      </c>
    </row>
    <row r="12" spans="1:4" ht="15.6" x14ac:dyDescent="0.35">
      <c r="A12" t="s">
        <v>11</v>
      </c>
      <c r="B12" s="2">
        <f>(B11-60)/B11</f>
        <v>0.88512499999999994</v>
      </c>
      <c r="D12" t="s">
        <v>15</v>
      </c>
    </row>
    <row r="13" spans="1:4" ht="15.6" x14ac:dyDescent="0.35">
      <c r="A13" t="s">
        <v>29</v>
      </c>
      <c r="B13" s="2">
        <f>$B$7*$B$4/(2*$B$9*(2.4-($B$2*$B$3/($B$4*0.88))))</f>
        <v>0.63623701309999303</v>
      </c>
      <c r="C13" s="1" t="s">
        <v>23</v>
      </c>
    </row>
    <row r="14" spans="1:4" ht="15.6" x14ac:dyDescent="0.35">
      <c r="A14" t="s">
        <v>30</v>
      </c>
      <c r="B14" s="2">
        <f>$B$8*$B$5/(2*$B$9*(2.4-($B$2*$B$3/($B$5*0.88))))</f>
        <v>0.44602091721913434</v>
      </c>
      <c r="C14" s="1" t="s">
        <v>23</v>
      </c>
    </row>
    <row r="15" spans="1:4" ht="15.6" x14ac:dyDescent="0.35">
      <c r="A15" t="s">
        <v>29</v>
      </c>
      <c r="B15" s="2">
        <f>$B$4*(2*$B$7-1)/((1-$B$7)*$B$9)</f>
        <v>3.5611831041646078</v>
      </c>
      <c r="C15" s="1" t="s">
        <v>23</v>
      </c>
      <c r="D15" t="s">
        <v>24</v>
      </c>
    </row>
    <row r="16" spans="1:4" ht="15.6" x14ac:dyDescent="0.35">
      <c r="A16" t="s">
        <v>30</v>
      </c>
      <c r="B16" s="2">
        <f>$B$5*(2*$B$8-1)/((1-$B$8)*$B$9)</f>
        <v>0.55564559072071928</v>
      </c>
      <c r="C16" s="1" t="s">
        <v>23</v>
      </c>
      <c r="D16" t="s">
        <v>24</v>
      </c>
    </row>
    <row r="17" spans="1:4" ht="15.6" x14ac:dyDescent="0.35">
      <c r="A17" t="s">
        <v>27</v>
      </c>
      <c r="B17" s="2">
        <f>((B5-0.3)/0.095)*(B8/B9)</f>
        <v>14.162551268100779</v>
      </c>
      <c r="C17" s="1" t="s">
        <v>23</v>
      </c>
    </row>
    <row r="18" spans="1:4" ht="15.6" x14ac:dyDescent="0.35">
      <c r="A18" t="s">
        <v>28</v>
      </c>
      <c r="B18" s="2">
        <f>((B4-0.3)/0.095)*(B7/B9)</f>
        <v>9.5368579647830547</v>
      </c>
      <c r="C18" s="1" t="s">
        <v>23</v>
      </c>
    </row>
    <row r="19" spans="1:4" ht="15.6" x14ac:dyDescent="0.35">
      <c r="A19" t="s">
        <v>31</v>
      </c>
      <c r="B19" s="2">
        <v>3.9</v>
      </c>
      <c r="C19" s="1" t="s">
        <v>23</v>
      </c>
      <c r="D19" t="s">
        <v>32</v>
      </c>
    </row>
    <row r="20" spans="1:4" ht="15.6" x14ac:dyDescent="0.35">
      <c r="A20" t="s">
        <v>26</v>
      </c>
      <c r="B20" s="2">
        <f>((B2*B3)/(B4*0.88))+((B4*B7)/(2*B19*B9))</f>
        <v>1.7229023174030287</v>
      </c>
      <c r="C20" s="1" t="s">
        <v>21</v>
      </c>
    </row>
    <row r="21" spans="1:4" ht="15.6" x14ac:dyDescent="0.35">
      <c r="A21" t="s">
        <v>34</v>
      </c>
      <c r="B21">
        <v>4.7</v>
      </c>
      <c r="C21" s="1" t="s">
        <v>33</v>
      </c>
    </row>
    <row r="22" spans="1:4" ht="15.6" x14ac:dyDescent="0.35">
      <c r="A22" t="s">
        <v>35</v>
      </c>
      <c r="B22">
        <v>20</v>
      </c>
      <c r="C22" s="1" t="s">
        <v>33</v>
      </c>
    </row>
    <row r="23" spans="1:4" ht="15.6" x14ac:dyDescent="0.35">
      <c r="A23" t="s">
        <v>36</v>
      </c>
      <c r="B23" s="2">
        <v>2.2000000000000002</v>
      </c>
      <c r="C23" s="1" t="s">
        <v>40</v>
      </c>
      <c r="D23" s="6" t="s">
        <v>41</v>
      </c>
    </row>
    <row r="24" spans="1:4" ht="15.6" x14ac:dyDescent="0.35">
      <c r="A24" t="s">
        <v>37</v>
      </c>
      <c r="B24" s="2">
        <v>0</v>
      </c>
      <c r="C24" s="1" t="s">
        <v>39</v>
      </c>
      <c r="D24" s="6"/>
    </row>
    <row r="25" spans="1:4" ht="15.6" x14ac:dyDescent="0.35">
      <c r="A25" t="s">
        <v>38</v>
      </c>
      <c r="B25" s="2">
        <v>10</v>
      </c>
      <c r="C25" s="1" t="s">
        <v>3</v>
      </c>
      <c r="D25" s="6"/>
    </row>
    <row r="27" spans="1:4" x14ac:dyDescent="0.3">
      <c r="A27" s="5" t="s">
        <v>66</v>
      </c>
      <c r="B27" s="8" t="s">
        <v>59</v>
      </c>
      <c r="C27" s="8"/>
      <c r="D27" s="5"/>
    </row>
    <row r="28" spans="1:4" x14ac:dyDescent="0.3">
      <c r="A28" s="5" t="s">
        <v>67</v>
      </c>
      <c r="B28" s="8" t="s">
        <v>58</v>
      </c>
      <c r="C28" s="8"/>
      <c r="D28" s="5"/>
    </row>
  </sheetData>
  <mergeCells count="4">
    <mergeCell ref="D23:D25"/>
    <mergeCell ref="B1:C1"/>
    <mergeCell ref="B27:C27"/>
    <mergeCell ref="B28:C28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3" sqref="B3"/>
    </sheetView>
  </sheetViews>
  <sheetFormatPr defaultRowHeight="14.4" x14ac:dyDescent="0.3"/>
  <cols>
    <col min="1" max="1" width="9.44140625" bestFit="1" customWidth="1"/>
    <col min="2" max="2" width="12" bestFit="1" customWidth="1"/>
    <col min="3" max="3" width="11.33203125" customWidth="1"/>
    <col min="4" max="4" width="35.109375" customWidth="1"/>
  </cols>
  <sheetData>
    <row r="1" spans="1:4" x14ac:dyDescent="0.3">
      <c r="A1" t="s">
        <v>47</v>
      </c>
      <c r="B1" s="7" t="s">
        <v>48</v>
      </c>
      <c r="C1" s="7"/>
    </row>
    <row r="2" spans="1:4" ht="15.6" x14ac:dyDescent="0.35">
      <c r="A2" t="s">
        <v>2</v>
      </c>
      <c r="B2">
        <v>3.2</v>
      </c>
      <c r="C2" t="s">
        <v>0</v>
      </c>
      <c r="D2" t="s">
        <v>18</v>
      </c>
    </row>
    <row r="3" spans="1:4" ht="15.6" x14ac:dyDescent="0.35">
      <c r="A3" t="s">
        <v>56</v>
      </c>
      <c r="B3">
        <v>0.7</v>
      </c>
      <c r="C3" t="s">
        <v>0</v>
      </c>
      <c r="D3" t="s">
        <v>57</v>
      </c>
    </row>
    <row r="4" spans="1:4" ht="15.6" x14ac:dyDescent="0.35">
      <c r="A4" t="s">
        <v>25</v>
      </c>
      <c r="B4">
        <v>0.8</v>
      </c>
      <c r="C4" t="s">
        <v>21</v>
      </c>
      <c r="D4" t="s">
        <v>22</v>
      </c>
    </row>
    <row r="5" spans="1:4" ht="15.6" x14ac:dyDescent="0.35">
      <c r="A5" t="s">
        <v>4</v>
      </c>
      <c r="B5">
        <v>2.5</v>
      </c>
      <c r="C5" t="s">
        <v>0</v>
      </c>
      <c r="D5" t="s">
        <v>20</v>
      </c>
    </row>
    <row r="6" spans="1:4" ht="15.6" x14ac:dyDescent="0.35">
      <c r="A6" t="s">
        <v>5</v>
      </c>
      <c r="B6">
        <v>5</v>
      </c>
      <c r="C6" t="s">
        <v>0</v>
      </c>
      <c r="D6" t="s">
        <v>19</v>
      </c>
    </row>
    <row r="7" spans="1:4" ht="15.6" x14ac:dyDescent="0.35">
      <c r="A7" t="s">
        <v>1</v>
      </c>
      <c r="B7" s="3">
        <f>((B2-1.215)/0.0000833)/1000</f>
        <v>23.82953181272509</v>
      </c>
      <c r="C7" s="1" t="s">
        <v>3</v>
      </c>
    </row>
    <row r="8" spans="1:4" ht="15.6" x14ac:dyDescent="0.35">
      <c r="A8" t="s">
        <v>6</v>
      </c>
      <c r="B8" s="2">
        <f>($B$2+$B$3)/($B$5+$B$2+$B$3-0.3)</f>
        <v>0.63934426229508201</v>
      </c>
      <c r="D8" t="s">
        <v>17</v>
      </c>
    </row>
    <row r="9" spans="1:4" ht="15.6" x14ac:dyDescent="0.35">
      <c r="A9" t="s">
        <v>7</v>
      </c>
      <c r="B9" s="2">
        <f>($B$2+$B$3)/($B$6+$B$2+$B$3-0.3)</f>
        <v>0.4534883720930234</v>
      </c>
      <c r="D9" t="s">
        <v>16</v>
      </c>
    </row>
    <row r="10" spans="1:4" ht="15.6" x14ac:dyDescent="0.35">
      <c r="A10" t="s">
        <v>8</v>
      </c>
      <c r="B10">
        <f>91.9/(B11+1)</f>
        <v>1.9145833333333335</v>
      </c>
      <c r="C10" t="s">
        <v>9</v>
      </c>
    </row>
    <row r="11" spans="1:4" ht="15.6" x14ac:dyDescent="0.35">
      <c r="A11" t="s">
        <v>10</v>
      </c>
      <c r="B11" s="2">
        <v>47</v>
      </c>
      <c r="C11" s="1" t="s">
        <v>3</v>
      </c>
    </row>
    <row r="12" spans="1:4" ht="15.6" x14ac:dyDescent="0.35">
      <c r="A12" t="s">
        <v>12</v>
      </c>
      <c r="B12" s="2">
        <f>(1/B10)*1000</f>
        <v>522.30685527747539</v>
      </c>
      <c r="C12" s="1" t="s">
        <v>13</v>
      </c>
      <c r="D12" t="s">
        <v>14</v>
      </c>
    </row>
    <row r="13" spans="1:4" ht="15.6" x14ac:dyDescent="0.35">
      <c r="A13" t="s">
        <v>11</v>
      </c>
      <c r="B13" s="2">
        <f>(B12-60)/B12</f>
        <v>0.88512499999999994</v>
      </c>
      <c r="D13" t="s">
        <v>15</v>
      </c>
    </row>
    <row r="14" spans="1:4" ht="15.6" x14ac:dyDescent="0.35">
      <c r="A14" t="s">
        <v>29</v>
      </c>
      <c r="B14" s="2">
        <f>$B$8*$B$5/(2*$B$10*(2.4-($B$2*$B$4/($B$5*0.75))-$B$4))</f>
        <v>1.7787671754920569</v>
      </c>
      <c r="C14" s="1" t="s">
        <v>23</v>
      </c>
    </row>
    <row r="15" spans="1:4" ht="15.6" x14ac:dyDescent="0.35">
      <c r="A15" t="s">
        <v>30</v>
      </c>
      <c r="B15" s="2">
        <f>$B$8*$B$6/(2*$B$10*(2.4-($B$2*$B$4/($B$6*0.75))-$B$4))</f>
        <v>0.91006692699593505</v>
      </c>
      <c r="C15" s="1" t="s">
        <v>23</v>
      </c>
    </row>
    <row r="16" spans="1:4" ht="15.6" x14ac:dyDescent="0.35">
      <c r="A16" t="s">
        <v>29</v>
      </c>
      <c r="B16" s="2">
        <f>$B$5*(2*$B$8-1)/((1-$B$8)*$B$10)</f>
        <v>1.0090018795133053</v>
      </c>
      <c r="C16" s="1" t="s">
        <v>23</v>
      </c>
      <c r="D16" t="s">
        <v>24</v>
      </c>
    </row>
    <row r="17" spans="1:4" ht="15.6" x14ac:dyDescent="0.35">
      <c r="A17" t="s">
        <v>30</v>
      </c>
      <c r="B17" s="2">
        <f>$B$6*(2*$B$9-1)/((1-$B$9)*$B$10)</f>
        <v>-0.44451647257657362</v>
      </c>
      <c r="C17" s="1" t="s">
        <v>23</v>
      </c>
      <c r="D17" t="s">
        <v>24</v>
      </c>
    </row>
    <row r="18" spans="1:4" ht="15.6" x14ac:dyDescent="0.35">
      <c r="A18" t="s">
        <v>27</v>
      </c>
      <c r="B18" s="2">
        <f>((B6-0.3)/0.095)*(B9/B10)</f>
        <v>11.71834107372843</v>
      </c>
      <c r="C18" s="1" t="s">
        <v>23</v>
      </c>
    </row>
    <row r="19" spans="1:4" ht="15.6" x14ac:dyDescent="0.35">
      <c r="A19" t="s">
        <v>28</v>
      </c>
      <c r="B19" s="2">
        <f>((B5-0.3)/0.095)*(B8/B10)</f>
        <v>7.7332058986725452</v>
      </c>
      <c r="C19" s="1" t="s">
        <v>23</v>
      </c>
    </row>
    <row r="20" spans="1:4" ht="15.6" x14ac:dyDescent="0.35">
      <c r="A20" t="s">
        <v>60</v>
      </c>
      <c r="B20" s="2">
        <v>2.2000000000000002</v>
      </c>
      <c r="C20" s="1" t="s">
        <v>23</v>
      </c>
      <c r="D20" t="s">
        <v>32</v>
      </c>
    </row>
    <row r="21" spans="1:4" s="4" customFormat="1" ht="15.6" x14ac:dyDescent="0.35">
      <c r="A21" s="4" t="s">
        <v>61</v>
      </c>
      <c r="B21" s="2">
        <v>2.2000000000000002</v>
      </c>
      <c r="C21" s="1" t="s">
        <v>23</v>
      </c>
      <c r="D21" s="4" t="s">
        <v>32</v>
      </c>
    </row>
    <row r="22" spans="1:4" ht="15.6" customHeight="1" x14ac:dyDescent="0.35">
      <c r="A22" t="s">
        <v>62</v>
      </c>
      <c r="B22" s="2">
        <f>(($B$2*$B$4)/($B$5*0.75))+(($B$5*$B$8)/(2*$B$20*$B$10))</f>
        <v>1.5550684987191525</v>
      </c>
      <c r="C22" s="1" t="s">
        <v>21</v>
      </c>
    </row>
    <row r="23" spans="1:4" s="4" customFormat="1" ht="15.6" customHeight="1" x14ac:dyDescent="0.35">
      <c r="A23" s="4" t="s">
        <v>63</v>
      </c>
      <c r="B23" s="2">
        <f>$B$4+(($B$2*(1-$B$8))/(2*$B$21*$B$10))</f>
        <v>0.93699851941704271</v>
      </c>
      <c r="C23" s="1" t="s">
        <v>21</v>
      </c>
    </row>
    <row r="24" spans="1:4" s="4" customFormat="1" ht="15.6" customHeight="1" x14ac:dyDescent="0.35">
      <c r="A24" s="4" t="s">
        <v>64</v>
      </c>
      <c r="B24" s="2">
        <f>(($B$2*$B$4)/($B$5*0.75))+(($B$6*$B$9)/(2*$B$20*$B$10))</f>
        <v>1.634492521438798</v>
      </c>
      <c r="C24" s="1" t="s">
        <v>21</v>
      </c>
    </row>
    <row r="25" spans="1:4" s="4" customFormat="1" ht="15.6" customHeight="1" x14ac:dyDescent="0.35">
      <c r="A25" s="4" t="s">
        <v>65</v>
      </c>
      <c r="B25" s="2">
        <f>$B$4+(($B$2*(1-$B$9))/(2*$B$21*$B$10))</f>
        <v>1.0075976507233941</v>
      </c>
      <c r="C25" s="1" t="s">
        <v>21</v>
      </c>
    </row>
    <row r="26" spans="1:4" ht="15.6" x14ac:dyDescent="0.35">
      <c r="A26" t="s">
        <v>34</v>
      </c>
      <c r="B26">
        <v>4.7</v>
      </c>
      <c r="C26" s="1" t="s">
        <v>33</v>
      </c>
    </row>
    <row r="27" spans="1:4" ht="15.6" x14ac:dyDescent="0.35">
      <c r="A27" t="s">
        <v>35</v>
      </c>
      <c r="B27">
        <v>20</v>
      </c>
      <c r="C27" s="1" t="s">
        <v>33</v>
      </c>
    </row>
    <row r="28" spans="1:4" ht="15.6" x14ac:dyDescent="0.35">
      <c r="A28" t="s">
        <v>36</v>
      </c>
      <c r="B28" s="2">
        <v>1</v>
      </c>
      <c r="C28" s="1" t="s">
        <v>40</v>
      </c>
      <c r="D28" s="6" t="s">
        <v>41</v>
      </c>
    </row>
    <row r="29" spans="1:4" ht="15.6" x14ac:dyDescent="0.35">
      <c r="A29" t="s">
        <v>37</v>
      </c>
      <c r="B29" s="2">
        <v>22</v>
      </c>
      <c r="C29" s="1" t="s">
        <v>39</v>
      </c>
      <c r="D29" s="6"/>
    </row>
    <row r="30" spans="1:4" ht="15.6" x14ac:dyDescent="0.35">
      <c r="A30" t="s">
        <v>38</v>
      </c>
      <c r="B30" s="2">
        <v>10</v>
      </c>
      <c r="C30" s="1" t="s">
        <v>3</v>
      </c>
      <c r="D30" s="6"/>
    </row>
    <row r="32" spans="1:4" ht="15.6" x14ac:dyDescent="0.35">
      <c r="A32" s="5" t="s">
        <v>68</v>
      </c>
      <c r="B32" s="8" t="s">
        <v>73</v>
      </c>
      <c r="C32" s="8"/>
    </row>
    <row r="33" spans="1:3" ht="15.6" x14ac:dyDescent="0.35">
      <c r="A33" s="5" t="s">
        <v>69</v>
      </c>
      <c r="B33" s="7" t="s">
        <v>72</v>
      </c>
      <c r="C33" s="7"/>
    </row>
    <row r="34" spans="1:3" ht="15.6" x14ac:dyDescent="0.35">
      <c r="A34" s="5" t="s">
        <v>70</v>
      </c>
      <c r="B34" s="8" t="s">
        <v>73</v>
      </c>
      <c r="C34" s="8"/>
    </row>
    <row r="35" spans="1:3" ht="15.6" x14ac:dyDescent="0.35">
      <c r="A35" s="5" t="s">
        <v>71</v>
      </c>
      <c r="B35" s="7" t="s">
        <v>72</v>
      </c>
      <c r="C35" s="7"/>
    </row>
  </sheetData>
  <mergeCells count="6">
    <mergeCell ref="B35:C35"/>
    <mergeCell ref="B1:C1"/>
    <mergeCell ref="D28:D30"/>
    <mergeCell ref="B32:C32"/>
    <mergeCell ref="B33:C33"/>
    <mergeCell ref="B34:C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B3" sqref="B3"/>
    </sheetView>
  </sheetViews>
  <sheetFormatPr defaultRowHeight="14.4" x14ac:dyDescent="0.3"/>
  <cols>
    <col min="1" max="1" width="9.6640625" bestFit="1" customWidth="1"/>
    <col min="2" max="2" width="12" bestFit="1" customWidth="1"/>
    <col min="4" max="4" width="32.44140625" bestFit="1" customWidth="1"/>
  </cols>
  <sheetData>
    <row r="1" spans="1:4" x14ac:dyDescent="0.3">
      <c r="A1" s="4" t="s">
        <v>47</v>
      </c>
      <c r="B1" s="7" t="s">
        <v>48</v>
      </c>
      <c r="C1" s="7"/>
      <c r="D1" s="4"/>
    </row>
    <row r="2" spans="1:4" ht="15.6" x14ac:dyDescent="0.35">
      <c r="A2" s="4" t="s">
        <v>2</v>
      </c>
      <c r="B2" s="4">
        <v>4.95</v>
      </c>
      <c r="C2" s="4" t="s">
        <v>0</v>
      </c>
      <c r="D2" s="4" t="s">
        <v>18</v>
      </c>
    </row>
    <row r="3" spans="1:4" ht="15.6" x14ac:dyDescent="0.35">
      <c r="A3" s="4" t="s">
        <v>56</v>
      </c>
      <c r="B3" s="4">
        <v>0.7</v>
      </c>
      <c r="C3" s="4" t="s">
        <v>0</v>
      </c>
      <c r="D3" s="4" t="s">
        <v>57</v>
      </c>
    </row>
    <row r="4" spans="1:4" ht="15.6" x14ac:dyDescent="0.35">
      <c r="A4" s="4" t="s">
        <v>25</v>
      </c>
      <c r="B4" s="4">
        <v>0.4</v>
      </c>
      <c r="C4" s="4" t="s">
        <v>21</v>
      </c>
      <c r="D4" s="4" t="s">
        <v>22</v>
      </c>
    </row>
    <row r="5" spans="1:4" ht="15.6" x14ac:dyDescent="0.35">
      <c r="A5" s="4" t="s">
        <v>4</v>
      </c>
      <c r="B5" s="4">
        <v>2.5</v>
      </c>
      <c r="C5" s="4" t="s">
        <v>0</v>
      </c>
      <c r="D5" s="4" t="s">
        <v>20</v>
      </c>
    </row>
    <row r="6" spans="1:4" ht="15.6" x14ac:dyDescent="0.35">
      <c r="A6" s="4" t="s">
        <v>5</v>
      </c>
      <c r="B6" s="4">
        <v>5</v>
      </c>
      <c r="C6" s="4" t="s">
        <v>0</v>
      </c>
      <c r="D6" s="4" t="s">
        <v>19</v>
      </c>
    </row>
    <row r="7" spans="1:4" ht="15.6" x14ac:dyDescent="0.35">
      <c r="A7" s="4" t="s">
        <v>1</v>
      </c>
      <c r="B7" s="9">
        <f>((B2-1.215)/0.0000833)/1000</f>
        <v>44.837935174069628</v>
      </c>
      <c r="C7" s="1" t="s">
        <v>3</v>
      </c>
      <c r="D7" s="4"/>
    </row>
    <row r="8" spans="1:4" ht="15.6" x14ac:dyDescent="0.35">
      <c r="A8" s="4" t="s">
        <v>6</v>
      </c>
      <c r="B8" s="2">
        <f>($B$2+$B$3)/($B$5+$B$2+$B$3-0.3)</f>
        <v>0.71974522292993626</v>
      </c>
      <c r="C8" s="4"/>
      <c r="D8" s="4" t="s">
        <v>17</v>
      </c>
    </row>
    <row r="9" spans="1:4" ht="15.6" x14ac:dyDescent="0.35">
      <c r="A9" s="4" t="s">
        <v>7</v>
      </c>
      <c r="B9" s="2">
        <f>($B$2+$B$3)/($B$6+$B$2+$B$3-0.3)</f>
        <v>0.54589371980676338</v>
      </c>
      <c r="C9" s="4"/>
      <c r="D9" s="4" t="s">
        <v>16</v>
      </c>
    </row>
    <row r="10" spans="1:4" ht="15.6" x14ac:dyDescent="0.35">
      <c r="A10" s="4" t="s">
        <v>8</v>
      </c>
      <c r="B10" s="4">
        <f>91.9/(B11+1)</f>
        <v>1.9145833333333335</v>
      </c>
      <c r="C10" s="4" t="s">
        <v>9</v>
      </c>
      <c r="D10" s="4"/>
    </row>
    <row r="11" spans="1:4" ht="15.6" x14ac:dyDescent="0.35">
      <c r="A11" s="4" t="s">
        <v>10</v>
      </c>
      <c r="B11" s="2">
        <v>47</v>
      </c>
      <c r="C11" s="1" t="s">
        <v>3</v>
      </c>
      <c r="D11" s="4"/>
    </row>
    <row r="12" spans="1:4" ht="15.6" x14ac:dyDescent="0.35">
      <c r="A12" s="4" t="s">
        <v>12</v>
      </c>
      <c r="B12" s="2">
        <f>(1/B10)*1000</f>
        <v>522.30685527747539</v>
      </c>
      <c r="C12" s="1" t="s">
        <v>13</v>
      </c>
      <c r="D12" s="4" t="s">
        <v>14</v>
      </c>
    </row>
    <row r="13" spans="1:4" ht="15.6" x14ac:dyDescent="0.35">
      <c r="A13" s="4" t="s">
        <v>11</v>
      </c>
      <c r="B13" s="2">
        <f>(B12-60)/B12</f>
        <v>0.88512499999999994</v>
      </c>
      <c r="C13" s="4"/>
      <c r="D13" s="4" t="s">
        <v>15</v>
      </c>
    </row>
    <row r="14" spans="1:4" ht="15.6" x14ac:dyDescent="0.35">
      <c r="A14" s="4" t="s">
        <v>29</v>
      </c>
      <c r="B14" s="2">
        <f>$B$8*$B$5/(2*$B$10*(2.4-($B$2*$B$4/($B$5*0.75))-$B$4))</f>
        <v>0.49778583685053046</v>
      </c>
      <c r="C14" s="1" t="s">
        <v>23</v>
      </c>
      <c r="D14" s="4"/>
    </row>
    <row r="15" spans="1:4" ht="15.6" x14ac:dyDescent="0.35">
      <c r="A15" s="4" t="s">
        <v>30</v>
      </c>
      <c r="B15" s="2">
        <f>$B$8*$B$6/(2*$B$10*(2.4-($B$2*$B$4/($B$6*0.75))-$B$4))</f>
        <v>0.63846444291698468</v>
      </c>
      <c r="C15" s="1" t="s">
        <v>23</v>
      </c>
      <c r="D15" s="4"/>
    </row>
    <row r="16" spans="1:4" ht="15.6" x14ac:dyDescent="0.35">
      <c r="A16" s="4" t="s">
        <v>29</v>
      </c>
      <c r="B16" s="2">
        <f>$B$5*(2*$B$8-1)/((1-$B$8)*$B$10)</f>
        <v>2.0476802848946476</v>
      </c>
      <c r="C16" s="1" t="s">
        <v>23</v>
      </c>
      <c r="D16" s="4" t="s">
        <v>24</v>
      </c>
    </row>
    <row r="17" spans="1:4" ht="15.6" x14ac:dyDescent="0.35">
      <c r="A17" s="4" t="s">
        <v>30</v>
      </c>
      <c r="B17" s="2">
        <f>$B$6*(2*$B$9-1)/((1-$B$9)*$B$10)</f>
        <v>0.52786331118468388</v>
      </c>
      <c r="C17" s="1" t="s">
        <v>23</v>
      </c>
      <c r="D17" s="4" t="s">
        <v>24</v>
      </c>
    </row>
    <row r="18" spans="1:4" ht="15.6" customHeight="1" x14ac:dyDescent="0.35">
      <c r="A18" s="4" t="s">
        <v>27</v>
      </c>
      <c r="B18" s="2">
        <f>((B6-0.3)/0.095)*(B9/B10)</f>
        <v>14.106136325342856</v>
      </c>
      <c r="C18" s="1" t="s">
        <v>23</v>
      </c>
      <c r="D18" s="4"/>
    </row>
    <row r="19" spans="1:4" ht="15.6" x14ac:dyDescent="0.35">
      <c r="A19" s="4" t="s">
        <v>28</v>
      </c>
      <c r="B19" s="2">
        <f>((B5-0.3)/0.095)*(B8/B10)</f>
        <v>8.7056979029152135</v>
      </c>
      <c r="C19" s="1" t="s">
        <v>23</v>
      </c>
      <c r="D19" s="4"/>
    </row>
    <row r="20" spans="1:4" ht="15.6" x14ac:dyDescent="0.35">
      <c r="A20" s="4" t="s">
        <v>60</v>
      </c>
      <c r="B20" s="2">
        <v>2.2000000000000002</v>
      </c>
      <c r="C20" s="1" t="s">
        <v>23</v>
      </c>
      <c r="D20" s="4" t="s">
        <v>32</v>
      </c>
    </row>
    <row r="21" spans="1:4" s="4" customFormat="1" ht="15.6" x14ac:dyDescent="0.35">
      <c r="A21" s="4" t="s">
        <v>61</v>
      </c>
      <c r="B21" s="2">
        <v>2.2000000000000002</v>
      </c>
      <c r="C21" s="1" t="s">
        <v>23</v>
      </c>
      <c r="D21" s="4" t="s">
        <v>32</v>
      </c>
    </row>
    <row r="22" spans="1:4" ht="15.6" x14ac:dyDescent="0.35">
      <c r="A22" s="4" t="s">
        <v>62</v>
      </c>
      <c r="B22" s="2">
        <f>(($B$2*$B$4)/($B$5*0.75))+(($B$5*$B$8)/(2*$B$20*$B$10))</f>
        <v>1.2695953772667732</v>
      </c>
      <c r="C22" s="1" t="s">
        <v>21</v>
      </c>
      <c r="D22" s="4"/>
    </row>
    <row r="23" spans="1:4" ht="15.6" x14ac:dyDescent="0.35">
      <c r="A23" s="4" t="s">
        <v>63</v>
      </c>
      <c r="B23" s="2">
        <f>$B$4+(($B$2*(1-$B$8))/(2*$B$21*$B$10))</f>
        <v>0.56467636519894926</v>
      </c>
      <c r="C23" s="1" t="s">
        <v>21</v>
      </c>
      <c r="D23" s="4"/>
    </row>
    <row r="24" spans="1:4" ht="15.6" x14ac:dyDescent="0.35">
      <c r="A24" s="4" t="s">
        <v>64</v>
      </c>
      <c r="B24" s="2">
        <f>(($B$2*$B$4)/($B$5*0.75))+(($B$6*$B$9)/(2*$B$20*$B$10))</f>
        <v>1.3800045819409021</v>
      </c>
      <c r="C24" s="1" t="s">
        <v>21</v>
      </c>
      <c r="D24" s="4"/>
    </row>
    <row r="25" spans="1:4" ht="15.6" x14ac:dyDescent="0.35">
      <c r="A25" s="4" t="s">
        <v>65</v>
      </c>
      <c r="B25" s="2">
        <f>$B$4+(($B$2*(1-$B$9))/(2*$B$21*$B$10))</f>
        <v>0.66683067606566682</v>
      </c>
      <c r="C25" s="1" t="s">
        <v>21</v>
      </c>
      <c r="D25" s="4"/>
    </row>
    <row r="26" spans="1:4" ht="15.6" customHeight="1" x14ac:dyDescent="0.35">
      <c r="A26" s="4" t="s">
        <v>34</v>
      </c>
      <c r="B26" s="4">
        <v>4.7</v>
      </c>
      <c r="C26" s="1" t="s">
        <v>33</v>
      </c>
      <c r="D26" s="4"/>
    </row>
    <row r="27" spans="1:4" ht="15.6" x14ac:dyDescent="0.35">
      <c r="A27" s="4" t="s">
        <v>35</v>
      </c>
      <c r="B27" s="4">
        <v>20</v>
      </c>
      <c r="C27" s="1" t="s">
        <v>33</v>
      </c>
      <c r="D27" s="4"/>
    </row>
    <row r="28" spans="1:4" ht="15.6" x14ac:dyDescent="0.35">
      <c r="A28" s="4" t="s">
        <v>36</v>
      </c>
      <c r="B28" s="2">
        <v>1</v>
      </c>
      <c r="C28" s="1" t="s">
        <v>40</v>
      </c>
      <c r="D28" s="6" t="s">
        <v>41</v>
      </c>
    </row>
    <row r="29" spans="1:4" ht="15.6" x14ac:dyDescent="0.35">
      <c r="A29" s="4" t="s">
        <v>37</v>
      </c>
      <c r="B29" s="2">
        <v>22</v>
      </c>
      <c r="C29" s="1" t="s">
        <v>39</v>
      </c>
      <c r="D29" s="6"/>
    </row>
    <row r="30" spans="1:4" ht="15.6" x14ac:dyDescent="0.35">
      <c r="A30" s="4" t="s">
        <v>38</v>
      </c>
      <c r="B30" s="2">
        <v>10</v>
      </c>
      <c r="C30" s="1" t="s">
        <v>3</v>
      </c>
      <c r="D30" s="6"/>
    </row>
    <row r="32" spans="1:4" ht="15.6" x14ac:dyDescent="0.35">
      <c r="A32" s="5" t="s">
        <v>68</v>
      </c>
      <c r="B32" s="8" t="s">
        <v>73</v>
      </c>
      <c r="C32" s="8"/>
    </row>
    <row r="33" spans="1:3" ht="15.6" x14ac:dyDescent="0.35">
      <c r="A33" s="5" t="s">
        <v>69</v>
      </c>
      <c r="B33" s="7" t="s">
        <v>72</v>
      </c>
      <c r="C33" s="7"/>
    </row>
    <row r="34" spans="1:3" ht="15.6" x14ac:dyDescent="0.35">
      <c r="A34" s="5" t="s">
        <v>70</v>
      </c>
      <c r="B34" s="8" t="s">
        <v>73</v>
      </c>
      <c r="C34" s="8"/>
    </row>
    <row r="35" spans="1:3" ht="15.6" x14ac:dyDescent="0.35">
      <c r="A35" s="5" t="s">
        <v>71</v>
      </c>
      <c r="B35" s="7" t="s">
        <v>72</v>
      </c>
      <c r="C35" s="7"/>
    </row>
  </sheetData>
  <mergeCells count="6">
    <mergeCell ref="D28:D30"/>
    <mergeCell ref="B33:C33"/>
    <mergeCell ref="B34:C34"/>
    <mergeCell ref="B35:C35"/>
    <mergeCell ref="B32:C32"/>
    <mergeCell ref="B1:C1"/>
  </mergeCells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7" workbookViewId="0">
      <selection activeCell="B26" sqref="B26:C26"/>
    </sheetView>
  </sheetViews>
  <sheetFormatPr defaultRowHeight="14.4" x14ac:dyDescent="0.3"/>
  <cols>
    <col min="2" max="2" width="12" bestFit="1" customWidth="1"/>
    <col min="4" max="4" width="35.109375" customWidth="1"/>
  </cols>
  <sheetData>
    <row r="1" spans="1:4" x14ac:dyDescent="0.3">
      <c r="A1" t="s">
        <v>47</v>
      </c>
      <c r="B1" s="7" t="s">
        <v>48</v>
      </c>
      <c r="C1" s="7"/>
    </row>
    <row r="2" spans="1:4" ht="15.6" x14ac:dyDescent="0.35">
      <c r="A2" t="s">
        <v>42</v>
      </c>
      <c r="B2">
        <v>10</v>
      </c>
      <c r="C2" t="s">
        <v>0</v>
      </c>
      <c r="D2" t="s">
        <v>18</v>
      </c>
    </row>
    <row r="3" spans="1:4" ht="15.6" x14ac:dyDescent="0.35">
      <c r="A3" t="s">
        <v>25</v>
      </c>
      <c r="B3">
        <v>0.35</v>
      </c>
      <c r="C3" t="s">
        <v>21</v>
      </c>
      <c r="D3" t="s">
        <v>22</v>
      </c>
    </row>
    <row r="4" spans="1:4" ht="15.6" x14ac:dyDescent="0.35">
      <c r="A4" t="s">
        <v>4</v>
      </c>
      <c r="B4">
        <v>2.5</v>
      </c>
      <c r="C4" t="s">
        <v>0</v>
      </c>
      <c r="D4" t="s">
        <v>20</v>
      </c>
    </row>
    <row r="5" spans="1:4" ht="15.6" x14ac:dyDescent="0.35">
      <c r="A5" t="s">
        <v>1</v>
      </c>
      <c r="B5" s="3">
        <f>((B2+0.005)/0.0000833)/1000</f>
        <v>120.10804321728692</v>
      </c>
      <c r="C5" s="1" t="s">
        <v>3</v>
      </c>
    </row>
    <row r="6" spans="1:4" ht="15.6" x14ac:dyDescent="0.35">
      <c r="A6" t="s">
        <v>6</v>
      </c>
      <c r="B6" s="2">
        <f>($B$2+0.7)/($B$2+$B$4+0.7-0.3)</f>
        <v>0.8294573643410853</v>
      </c>
      <c r="D6" t="s">
        <v>17</v>
      </c>
    </row>
    <row r="7" spans="1:4" ht="15.6" x14ac:dyDescent="0.35">
      <c r="A7" t="s">
        <v>8</v>
      </c>
      <c r="B7">
        <f>91.9/(B8+1)</f>
        <v>1.9145833333333335</v>
      </c>
      <c r="C7" t="s">
        <v>9</v>
      </c>
    </row>
    <row r="8" spans="1:4" ht="15.6" x14ac:dyDescent="0.35">
      <c r="A8" t="s">
        <v>10</v>
      </c>
      <c r="B8" s="2">
        <v>47</v>
      </c>
      <c r="C8" s="1" t="s">
        <v>3</v>
      </c>
    </row>
    <row r="9" spans="1:4" ht="15.6" x14ac:dyDescent="0.35">
      <c r="A9" t="s">
        <v>12</v>
      </c>
      <c r="B9" s="2">
        <f>(1/B7)*1000</f>
        <v>522.30685527747539</v>
      </c>
      <c r="C9" s="1" t="s">
        <v>13</v>
      </c>
      <c r="D9" t="s">
        <v>14</v>
      </c>
    </row>
    <row r="10" spans="1:4" ht="15.6" x14ac:dyDescent="0.35">
      <c r="A10" t="s">
        <v>11</v>
      </c>
      <c r="B10" s="2">
        <f>(B9-60)/B9</f>
        <v>0.88512499999999994</v>
      </c>
      <c r="D10" t="s">
        <v>15</v>
      </c>
    </row>
    <row r="11" spans="1:4" ht="15.6" x14ac:dyDescent="0.35">
      <c r="A11" t="s">
        <v>29</v>
      </c>
      <c r="B11" s="2">
        <f>$B$6*$B$4/(2*$B$7*(2.4-($B$2*$B$3/($B$4*0.75))-$B$3))</f>
        <v>2.9538495515163796</v>
      </c>
      <c r="C11" s="1" t="s">
        <v>23</v>
      </c>
    </row>
    <row r="12" spans="1:4" ht="15.6" x14ac:dyDescent="0.35">
      <c r="A12" t="s">
        <v>29</v>
      </c>
      <c r="B12" s="2">
        <f>$B$4*(2*$B$6-1)/((1-$B$6)*$B$7)</f>
        <v>5.0450093975665258</v>
      </c>
      <c r="C12" s="1" t="s">
        <v>23</v>
      </c>
      <c r="D12" t="s">
        <v>24</v>
      </c>
    </row>
    <row r="13" spans="1:4" ht="15.6" x14ac:dyDescent="0.35">
      <c r="A13" t="s">
        <v>28</v>
      </c>
      <c r="B13" s="2">
        <f>((B4-0.3)/0.095)*(B6/B7)</f>
        <v>10.0327240907644</v>
      </c>
      <c r="C13" s="1" t="s">
        <v>23</v>
      </c>
    </row>
    <row r="14" spans="1:4" ht="15.6" x14ac:dyDescent="0.35">
      <c r="A14" t="s">
        <v>45</v>
      </c>
      <c r="B14" s="2">
        <v>5.3</v>
      </c>
      <c r="C14" s="1" t="s">
        <v>23</v>
      </c>
      <c r="D14" t="s">
        <v>32</v>
      </c>
    </row>
    <row r="15" spans="1:4" ht="15.6" x14ac:dyDescent="0.35">
      <c r="A15" t="s">
        <v>46</v>
      </c>
      <c r="B15" s="2">
        <v>5.6</v>
      </c>
      <c r="C15" s="1" t="s">
        <v>23</v>
      </c>
    </row>
    <row r="16" spans="1:4" ht="15.6" x14ac:dyDescent="0.35">
      <c r="A16" t="s">
        <v>43</v>
      </c>
      <c r="B16" s="2">
        <f>((B2*B3)/(B4*0.75))+((B4*B6)/(2*B14*B7))</f>
        <v>1.968843852410944</v>
      </c>
      <c r="C16" s="1" t="s">
        <v>21</v>
      </c>
    </row>
    <row r="17" spans="1:4" ht="15.6" x14ac:dyDescent="0.35">
      <c r="A17" t="s">
        <v>44</v>
      </c>
      <c r="B17" s="2">
        <f>B3+((B2*(1-B6))/(2*B15*B7))</f>
        <v>0.42953177475155352</v>
      </c>
      <c r="C17" s="1" t="s">
        <v>21</v>
      </c>
    </row>
    <row r="18" spans="1:4" ht="15.6" x14ac:dyDescent="0.35">
      <c r="A18" t="s">
        <v>34</v>
      </c>
      <c r="B18">
        <v>4.7</v>
      </c>
      <c r="C18" s="1" t="s">
        <v>33</v>
      </c>
    </row>
    <row r="19" spans="1:4" ht="15.6" x14ac:dyDescent="0.35">
      <c r="A19" t="s">
        <v>35</v>
      </c>
      <c r="B19">
        <v>20</v>
      </c>
      <c r="C19" s="1" t="s">
        <v>33</v>
      </c>
    </row>
    <row r="20" spans="1:4" ht="15.6" x14ac:dyDescent="0.35">
      <c r="A20" t="s">
        <v>36</v>
      </c>
      <c r="B20" s="2">
        <v>2.2000000000000002</v>
      </c>
      <c r="C20" s="1" t="s">
        <v>40</v>
      </c>
      <c r="D20" s="6" t="s">
        <v>41</v>
      </c>
    </row>
    <row r="21" spans="1:4" ht="15.6" x14ac:dyDescent="0.35">
      <c r="A21" t="s">
        <v>37</v>
      </c>
      <c r="B21" s="2" t="s">
        <v>76</v>
      </c>
      <c r="C21" s="1" t="s">
        <v>39</v>
      </c>
      <c r="D21" s="6"/>
    </row>
    <row r="22" spans="1:4" ht="15.6" x14ac:dyDescent="0.35">
      <c r="A22" t="s">
        <v>38</v>
      </c>
      <c r="B22" s="2">
        <v>10</v>
      </c>
      <c r="C22" s="1" t="s">
        <v>3</v>
      </c>
      <c r="D22" s="6"/>
    </row>
    <row r="24" spans="1:4" ht="15.6" x14ac:dyDescent="0.35">
      <c r="A24" s="5" t="s">
        <v>68</v>
      </c>
      <c r="B24" s="8" t="s">
        <v>74</v>
      </c>
      <c r="C24" s="8"/>
      <c r="D24" s="4"/>
    </row>
    <row r="25" spans="1:4" ht="15.6" x14ac:dyDescent="0.35">
      <c r="A25" s="5" t="s">
        <v>69</v>
      </c>
      <c r="B25" s="7" t="s">
        <v>58</v>
      </c>
      <c r="C25" s="7"/>
      <c r="D25" s="4"/>
    </row>
    <row r="26" spans="1:4" ht="15.6" x14ac:dyDescent="0.35">
      <c r="A26" s="5" t="s">
        <v>70</v>
      </c>
      <c r="B26" s="8" t="s">
        <v>75</v>
      </c>
      <c r="C26" s="8"/>
      <c r="D26" s="4"/>
    </row>
    <row r="27" spans="1:4" ht="15.6" x14ac:dyDescent="0.35">
      <c r="A27" s="5" t="s">
        <v>71</v>
      </c>
      <c r="B27" s="7" t="s">
        <v>72</v>
      </c>
      <c r="C27" s="7"/>
      <c r="D27" s="4"/>
    </row>
  </sheetData>
  <mergeCells count="6">
    <mergeCell ref="B27:C27"/>
    <mergeCell ref="D20:D22"/>
    <mergeCell ref="B1:C1"/>
    <mergeCell ref="B24:C24"/>
    <mergeCell ref="B25:C25"/>
    <mergeCell ref="B26:C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D17" sqref="D17"/>
    </sheetView>
  </sheetViews>
  <sheetFormatPr defaultRowHeight="14.4" x14ac:dyDescent="0.3"/>
  <cols>
    <col min="4" max="4" width="36.77734375" customWidth="1"/>
  </cols>
  <sheetData>
    <row r="1" spans="1:4" x14ac:dyDescent="0.3">
      <c r="A1" t="s">
        <v>47</v>
      </c>
      <c r="B1" s="7" t="s">
        <v>49</v>
      </c>
      <c r="C1" s="7"/>
    </row>
    <row r="2" spans="1:4" ht="15.6" x14ac:dyDescent="0.35">
      <c r="A2" t="s">
        <v>2</v>
      </c>
      <c r="B2">
        <v>10</v>
      </c>
      <c r="C2" t="s">
        <v>0</v>
      </c>
      <c r="D2" t="s">
        <v>18</v>
      </c>
    </row>
    <row r="3" spans="1:4" ht="15.6" x14ac:dyDescent="0.35">
      <c r="A3" t="s">
        <v>25</v>
      </c>
      <c r="B3">
        <v>0.35</v>
      </c>
      <c r="C3" t="s">
        <v>21</v>
      </c>
      <c r="D3" t="s">
        <v>22</v>
      </c>
    </row>
    <row r="4" spans="1:4" ht="15.6" x14ac:dyDescent="0.35">
      <c r="A4" t="s">
        <v>4</v>
      </c>
      <c r="B4">
        <v>2.5</v>
      </c>
      <c r="C4" t="s">
        <v>0</v>
      </c>
      <c r="D4" t="s">
        <v>20</v>
      </c>
    </row>
    <row r="5" spans="1:4" ht="15.6" x14ac:dyDescent="0.35">
      <c r="A5" t="s">
        <v>5</v>
      </c>
      <c r="B5">
        <v>5</v>
      </c>
      <c r="C5" t="s">
        <v>0</v>
      </c>
      <c r="D5" t="s">
        <v>19</v>
      </c>
    </row>
    <row r="6" spans="1:4" ht="15.6" x14ac:dyDescent="0.35">
      <c r="A6" t="s">
        <v>50</v>
      </c>
      <c r="B6" s="3">
        <f>B7*((B2-1.245)/1.245)</f>
        <v>70.321285140562239</v>
      </c>
      <c r="C6" s="1" t="s">
        <v>3</v>
      </c>
    </row>
    <row r="7" spans="1:4" ht="15.6" x14ac:dyDescent="0.35">
      <c r="A7" t="s">
        <v>51</v>
      </c>
      <c r="B7" s="3">
        <v>10</v>
      </c>
      <c r="C7" s="1" t="s">
        <v>3</v>
      </c>
    </row>
    <row r="8" spans="1:4" ht="15.6" x14ac:dyDescent="0.35">
      <c r="A8" t="s">
        <v>6</v>
      </c>
      <c r="B8" s="2">
        <f>($B$2-$B$4)/$B$2</f>
        <v>0.75</v>
      </c>
      <c r="D8" t="s">
        <v>17</v>
      </c>
    </row>
    <row r="9" spans="1:4" ht="15.6" x14ac:dyDescent="0.35">
      <c r="A9" t="s">
        <v>7</v>
      </c>
      <c r="B9" s="2">
        <f>($B$2-$B$5)/$B$2</f>
        <v>0.5</v>
      </c>
      <c r="D9" t="s">
        <v>16</v>
      </c>
    </row>
    <row r="10" spans="1:4" ht="15.6" x14ac:dyDescent="0.35">
      <c r="A10" t="s">
        <v>8</v>
      </c>
      <c r="B10">
        <v>1.3</v>
      </c>
      <c r="C10" t="s">
        <v>9</v>
      </c>
    </row>
    <row r="11" spans="1:4" ht="15.6" x14ac:dyDescent="0.35">
      <c r="A11" t="s">
        <v>53</v>
      </c>
      <c r="B11" s="2">
        <f>B8/B10</f>
        <v>0.57692307692307687</v>
      </c>
      <c r="C11" s="1" t="s">
        <v>52</v>
      </c>
    </row>
    <row r="12" spans="1:4" ht="15.6" x14ac:dyDescent="0.35">
      <c r="A12" t="s">
        <v>54</v>
      </c>
      <c r="B12" s="2">
        <f>B9/B10</f>
        <v>0.38461538461538458</v>
      </c>
      <c r="C12" s="1" t="s">
        <v>52</v>
      </c>
    </row>
    <row r="13" spans="1:4" ht="15.6" x14ac:dyDescent="0.35">
      <c r="A13" t="s">
        <v>55</v>
      </c>
      <c r="B13" s="2">
        <v>0.4</v>
      </c>
      <c r="C13" s="1" t="s">
        <v>21</v>
      </c>
    </row>
    <row r="14" spans="1:4" ht="15.6" x14ac:dyDescent="0.35">
      <c r="A14" t="s">
        <v>29</v>
      </c>
      <c r="B14" s="2">
        <f>B4*B11/$B$13</f>
        <v>3.6057692307692299</v>
      </c>
      <c r="C14" s="1" t="s">
        <v>23</v>
      </c>
    </row>
    <row r="15" spans="1:4" ht="15.6" x14ac:dyDescent="0.35">
      <c r="A15" t="s">
        <v>30</v>
      </c>
      <c r="B15" s="2">
        <f>B5*B12/$B$13</f>
        <v>4.8076923076923066</v>
      </c>
      <c r="C15" s="1" t="s">
        <v>23</v>
      </c>
    </row>
    <row r="16" spans="1:4" ht="15.6" x14ac:dyDescent="0.35">
      <c r="A16" t="s">
        <v>31</v>
      </c>
      <c r="B16" s="2">
        <v>4.7</v>
      </c>
      <c r="C16" s="1" t="s">
        <v>23</v>
      </c>
      <c r="D16" t="s">
        <v>32</v>
      </c>
    </row>
    <row r="17" spans="1:4" ht="15.6" x14ac:dyDescent="0.35">
      <c r="A17" t="s">
        <v>26</v>
      </c>
      <c r="B17" s="2">
        <f>(B3*(B2/B4))+(B13/2)</f>
        <v>1.5999999999999999</v>
      </c>
      <c r="C17" s="1" t="s">
        <v>21</v>
      </c>
    </row>
    <row r="18" spans="1:4" ht="15.6" x14ac:dyDescent="0.35">
      <c r="A18" t="s">
        <v>34</v>
      </c>
      <c r="B18">
        <v>22</v>
      </c>
      <c r="C18" s="1" t="s">
        <v>33</v>
      </c>
    </row>
    <row r="19" spans="1:4" ht="15.6" x14ac:dyDescent="0.35">
      <c r="A19" t="s">
        <v>35</v>
      </c>
      <c r="B19">
        <v>22</v>
      </c>
      <c r="C19" s="1" t="s">
        <v>33</v>
      </c>
    </row>
    <row r="20" spans="1:4" ht="15.6" x14ac:dyDescent="0.35">
      <c r="A20" t="s">
        <v>36</v>
      </c>
      <c r="B20" s="2">
        <v>1</v>
      </c>
      <c r="C20" s="1" t="s">
        <v>40</v>
      </c>
      <c r="D20" s="6" t="s">
        <v>41</v>
      </c>
    </row>
    <row r="21" spans="1:4" ht="15.6" x14ac:dyDescent="0.35">
      <c r="A21" t="s">
        <v>37</v>
      </c>
      <c r="B21" s="2">
        <v>22</v>
      </c>
      <c r="C21" s="1" t="s">
        <v>39</v>
      </c>
      <c r="D21" s="6"/>
    </row>
    <row r="22" spans="1:4" ht="15.6" x14ac:dyDescent="0.35">
      <c r="A22" t="s">
        <v>38</v>
      </c>
      <c r="B22" s="2">
        <v>10</v>
      </c>
      <c r="C22" s="1" t="s">
        <v>3</v>
      </c>
      <c r="D22" s="6"/>
    </row>
  </sheetData>
  <mergeCells count="2">
    <mergeCell ref="B1:C1"/>
    <mergeCell ref="D20:D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+10V regulator (LT3580)</vt:lpstr>
      <vt:lpstr>3.3V SEPIC regulator</vt:lpstr>
      <vt:lpstr>+5V SEPIC regulator</vt:lpstr>
      <vt:lpstr>-10V regulator</vt:lpstr>
      <vt:lpstr>+10V regulator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Pierce</dc:creator>
  <cp:lastModifiedBy>Pierce</cp:lastModifiedBy>
  <dcterms:created xsi:type="dcterms:W3CDTF">2014-07-26T17:36:27Z</dcterms:created>
  <dcterms:modified xsi:type="dcterms:W3CDTF">2014-09-06T19:16:44Z</dcterms:modified>
</cp:coreProperties>
</file>