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9095" windowHeight="8670" activeTab="2"/>
  </bookViews>
  <sheets>
    <sheet name="R&amp;D" sheetId="1" r:id="rId1"/>
    <sheet name="Marketing" sheetId="2" r:id="rId2"/>
    <sheet name="Production" sheetId="3" r:id="rId3"/>
    <sheet name="HR" sheetId="6" r:id="rId4"/>
    <sheet name="Finance" sheetId="5" r:id="rId5"/>
    <sheet name="P&amp;L" sheetId="4" r:id="rId6"/>
    <sheet name="Balance Scorecard" sheetId="7" r:id="rId7"/>
  </sheets>
  <definedNames>
    <definedName name="production" localSheetId="2">Production!#REF!</definedName>
  </definedNames>
  <calcPr calcId="125725"/>
</workbook>
</file>

<file path=xl/calcChain.xml><?xml version="1.0" encoding="utf-8"?>
<calcChain xmlns="http://schemas.openxmlformats.org/spreadsheetml/2006/main">
  <c r="J5" i="3"/>
  <c r="N9"/>
  <c r="M9"/>
  <c r="J9"/>
  <c r="N8"/>
  <c r="M8"/>
  <c r="J8"/>
  <c r="N7"/>
  <c r="M7"/>
  <c r="J7"/>
  <c r="N6"/>
  <c r="M6"/>
  <c r="J6"/>
  <c r="N5"/>
  <c r="M5"/>
  <c r="G9" i="4"/>
  <c r="G8"/>
  <c r="F9"/>
  <c r="E9"/>
  <c r="D9"/>
  <c r="C9"/>
  <c r="B9"/>
  <c r="G10"/>
  <c r="G16"/>
  <c r="B21" i="3"/>
  <c r="B6" i="4" s="1"/>
  <c r="C25" i="3"/>
  <c r="D25"/>
  <c r="E25"/>
  <c r="F25"/>
  <c r="B25"/>
  <c r="G25"/>
  <c r="D26" s="1"/>
  <c r="D16" s="1"/>
  <c r="D4" i="4" s="1"/>
  <c r="C5"/>
  <c r="D5"/>
  <c r="E5"/>
  <c r="F5"/>
  <c r="B5"/>
  <c r="F3"/>
  <c r="C3"/>
  <c r="B3"/>
  <c r="D3" i="1"/>
  <c r="D4"/>
  <c r="D5"/>
  <c r="D6"/>
  <c r="D2"/>
  <c r="C24" i="3"/>
  <c r="C7" i="4" s="1"/>
  <c r="D24" i="3"/>
  <c r="D7" i="4" s="1"/>
  <c r="E24" i="3"/>
  <c r="E7" i="4" s="1"/>
  <c r="F24" i="3"/>
  <c r="F7" i="4" s="1"/>
  <c r="B24" i="3"/>
  <c r="B7" i="4" s="1"/>
  <c r="C21" i="3"/>
  <c r="C6" i="4" s="1"/>
  <c r="D21" i="3"/>
  <c r="D6" i="4" s="1"/>
  <c r="E21" i="3"/>
  <c r="E6" i="4" s="1"/>
  <c r="F21" i="3"/>
  <c r="F6" i="4" s="1"/>
  <c r="M3" i="1"/>
  <c r="F3" s="1"/>
  <c r="M4"/>
  <c r="F4" s="1"/>
  <c r="M5"/>
  <c r="F5" s="1"/>
  <c r="M6"/>
  <c r="F6" s="1"/>
  <c r="M2"/>
  <c r="F2" s="1"/>
  <c r="H3" i="2"/>
  <c r="H4"/>
  <c r="D3" i="4" s="1"/>
  <c r="H5" i="2"/>
  <c r="E3" i="4" s="1"/>
  <c r="H6" i="2"/>
  <c r="H2"/>
  <c r="N10" i="3" l="1"/>
  <c r="G5" i="4"/>
  <c r="O9" i="3"/>
  <c r="E9" s="1"/>
  <c r="O7"/>
  <c r="E7" s="1"/>
  <c r="O5"/>
  <c r="E5" s="1"/>
  <c r="O8"/>
  <c r="E8" s="1"/>
  <c r="O6"/>
  <c r="E6" s="1"/>
  <c r="C8" i="4"/>
  <c r="E8"/>
  <c r="B8"/>
  <c r="D8"/>
  <c r="F8"/>
  <c r="G6"/>
  <c r="G7"/>
  <c r="D11"/>
  <c r="D13" s="1"/>
  <c r="G3"/>
  <c r="C15" s="1"/>
  <c r="B26" i="3"/>
  <c r="B16" s="1"/>
  <c r="B4" i="4" s="1"/>
  <c r="E26" i="3"/>
  <c r="E16" s="1"/>
  <c r="E4" i="4" s="1"/>
  <c r="C26" i="3"/>
  <c r="C16" s="1"/>
  <c r="C4" i="4" s="1"/>
  <c r="F26" i="3"/>
  <c r="F16" s="1"/>
  <c r="F4" i="4" s="1"/>
  <c r="E11" l="1"/>
  <c r="E12" s="1"/>
  <c r="D12"/>
  <c r="C11"/>
  <c r="C12" s="1"/>
  <c r="B15"/>
  <c r="D15"/>
  <c r="F15"/>
  <c r="E15"/>
  <c r="F11"/>
  <c r="F14" s="1"/>
  <c r="G4"/>
  <c r="B11"/>
  <c r="B14" s="1"/>
  <c r="D14"/>
  <c r="D17" s="1"/>
  <c r="C14"/>
  <c r="G11" l="1"/>
  <c r="B17"/>
  <c r="E13"/>
  <c r="E14"/>
  <c r="E17" s="1"/>
  <c r="C17"/>
  <c r="F17"/>
  <c r="C13"/>
  <c r="G14"/>
  <c r="G15"/>
  <c r="F12"/>
  <c r="B12"/>
  <c r="F13"/>
  <c r="B13"/>
  <c r="G17" l="1"/>
  <c r="G13"/>
  <c r="G12"/>
</calcChain>
</file>

<file path=xl/sharedStrings.xml><?xml version="1.0" encoding="utf-8"?>
<sst xmlns="http://schemas.openxmlformats.org/spreadsheetml/2006/main" count="113" uniqueCount="65">
  <si>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</si>
  <si>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</si>
  <si>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</si>
  <si>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</si>
  <si>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</si>
  <si>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</si>
  <si>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</si>
  <si>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</si>
  <si>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</si>
  <si>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</si>
  <si>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Name</t>
  </si>
  <si>
    <t>Type</t>
  </si>
  <si>
    <t>Revision Date</t>
  </si>
  <si>
    <t>Age</t>
  </si>
  <si>
    <t>Performance Coordinate</t>
  </si>
  <si>
    <t>Size Coordinate</t>
  </si>
  <si>
    <t>R&amp;D Cost</t>
  </si>
  <si>
    <t>Forecasted Quantity</t>
  </si>
  <si>
    <t>Price</t>
  </si>
  <si>
    <t>Material Cost</t>
  </si>
  <si>
    <t>Labor Cost</t>
  </si>
  <si>
    <t>Contribution Margin</t>
  </si>
  <si>
    <t>Capacity Next Round</t>
  </si>
  <si>
    <t>Total Sales</t>
  </si>
  <si>
    <t>Old Labour</t>
  </si>
  <si>
    <t>New Labour</t>
  </si>
  <si>
    <t>New Capacity</t>
  </si>
  <si>
    <t>2nd Shift &amp; Over-time</t>
  </si>
  <si>
    <t>New Capacity Cost</t>
  </si>
  <si>
    <t>Automation Next Round</t>
  </si>
  <si>
    <t>Automation Cost</t>
  </si>
  <si>
    <t>Old Automation</t>
  </si>
  <si>
    <t>Size Cost</t>
  </si>
  <si>
    <t>Performance Cost</t>
  </si>
  <si>
    <t>Sales Cost</t>
  </si>
  <si>
    <t>Marketing Cost</t>
  </si>
  <si>
    <t>Inventory</t>
  </si>
  <si>
    <t>Capacity Cost</t>
  </si>
  <si>
    <t>Manufactored Quantity</t>
  </si>
  <si>
    <t>Size Factor</t>
  </si>
  <si>
    <t>Performance Factor</t>
  </si>
  <si>
    <t>Sales Revenue</t>
  </si>
  <si>
    <t>Plant Cost</t>
  </si>
  <si>
    <t>Hourly Rate</t>
  </si>
  <si>
    <t>Number of Labour</t>
  </si>
  <si>
    <t>Total</t>
  </si>
  <si>
    <t>Utilization</t>
  </si>
  <si>
    <t>Labour Factor</t>
  </si>
  <si>
    <t>S&amp;M</t>
  </si>
  <si>
    <t>Cash</t>
  </si>
  <si>
    <t>Long term Loan</t>
  </si>
  <si>
    <t>Short term Loan</t>
  </si>
  <si>
    <t>Interest</t>
  </si>
  <si>
    <t>Tax</t>
  </si>
  <si>
    <t>Tax rate</t>
  </si>
  <si>
    <t>Short term interest rate</t>
  </si>
  <si>
    <t>Long term interest rate</t>
  </si>
  <si>
    <t>EBIT</t>
  </si>
  <si>
    <t>Depreciation</t>
  </si>
  <si>
    <t>Profit Sharing</t>
  </si>
  <si>
    <t>Net Profit</t>
  </si>
  <si>
    <t>S&amp;M Cost</t>
  </si>
  <si>
    <t>Reliability Cost</t>
  </si>
  <si>
    <t>Reliability</t>
  </si>
  <si>
    <t xml:space="preserve">Reliability Factor </t>
  </si>
</sst>
</file>

<file path=xl/styles.xml><?xml version="1.0" encoding="utf-8"?>
<styleSheet xmlns="http://schemas.openxmlformats.org/spreadsheetml/2006/main">
  <numFmts count="5">
    <numFmt numFmtId="164" formatCode="[$-14009]dd/mm/yyyy;@"/>
    <numFmt numFmtId="165" formatCode="[$$-409]#,##0.00"/>
    <numFmt numFmtId="166" formatCode="[$$-409]#,##0"/>
    <numFmt numFmtId="167" formatCode="&quot;Rs.&quot;\ #,##0.00"/>
    <numFmt numFmtId="168" formatCode="[$$-409]#,##0.00_ ;\-[$$-409]#,##0.00\ 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1"/>
  <sheetViews>
    <sheetView workbookViewId="0">
      <selection activeCell="D2" sqref="D2"/>
    </sheetView>
  </sheetViews>
  <sheetFormatPr defaultRowHeight="12.75"/>
  <cols>
    <col min="1" max="1" width="11.5703125" customWidth="1"/>
    <col min="3" max="4" width="10.140625" bestFit="1" customWidth="1"/>
    <col min="5" max="5" width="4" bestFit="1" customWidth="1"/>
    <col min="6" max="6" width="4.28515625" bestFit="1" customWidth="1"/>
    <col min="10" max="11" width="11.28515625" customWidth="1"/>
    <col min="12" max="12" width="10.28515625" customWidth="1"/>
    <col min="13" max="13" width="10.140625" bestFit="1" customWidth="1"/>
  </cols>
  <sheetData>
    <row r="1" spans="1:18" s="3" customFormat="1" ht="27.75" customHeight="1">
      <c r="A1" s="3" t="s">
        <v>10</v>
      </c>
      <c r="B1" s="3" t="s">
        <v>11</v>
      </c>
      <c r="D1" s="3" t="s">
        <v>12</v>
      </c>
      <c r="F1" s="3" t="s">
        <v>13</v>
      </c>
      <c r="H1" s="3" t="s">
        <v>63</v>
      </c>
      <c r="J1" s="3" t="s">
        <v>14</v>
      </c>
      <c r="L1" s="3" t="s">
        <v>15</v>
      </c>
      <c r="M1" s="3" t="s">
        <v>16</v>
      </c>
    </row>
    <row r="2" spans="1:18">
      <c r="A2" t="s">
        <v>0</v>
      </c>
      <c r="B2" t="s">
        <v>1</v>
      </c>
      <c r="C2" s="4">
        <v>38585</v>
      </c>
      <c r="D2" s="9">
        <f>C2+(H2-G2)*$B$14+(J2-I2)*$B$13+(K2-L2)*$B$12</f>
        <v>39125</v>
      </c>
      <c r="E2">
        <v>3.1</v>
      </c>
      <c r="F2">
        <f>IF(M2=0, E2, (E2+((H2-G2)*$B$14+(J2-I2)*$B$13+(K2-L2)*$B$12)/365)/2)</f>
        <v>2.2897260273972604</v>
      </c>
      <c r="G2">
        <v>17500</v>
      </c>
      <c r="H2">
        <v>18000</v>
      </c>
      <c r="I2">
        <v>5.5</v>
      </c>
      <c r="J2">
        <v>6</v>
      </c>
      <c r="K2">
        <v>14.5</v>
      </c>
      <c r="L2">
        <v>14</v>
      </c>
      <c r="M2" s="5">
        <f>(H2-G2)*$B$9+ (J2-I2)*$B$10 + (K2-L2)*$B$11</f>
        <v>1500</v>
      </c>
      <c r="N2" s="1"/>
      <c r="Q2" s="2"/>
      <c r="R2" s="1"/>
    </row>
    <row r="3" spans="1:18">
      <c r="A3" t="s">
        <v>2</v>
      </c>
      <c r="B3" t="s">
        <v>3</v>
      </c>
      <c r="C3" s="4">
        <v>38497</v>
      </c>
      <c r="D3" s="9">
        <f t="shared" ref="D3:D6" si="0">C3+(H3-G3)*$B$14+(J3-I3)*$B$13+(K3-L3)*$B$12</f>
        <v>38537</v>
      </c>
      <c r="E3">
        <v>4.5999999999999996</v>
      </c>
      <c r="F3">
        <f t="shared" ref="F3:F6" si="1">IF(M3=0, E3, (E3+((H3-G3)*$B$14+(J3-I3)*$B$13+(K3-L3)*$B$12)/365)/2)</f>
        <v>2.3547945205479452</v>
      </c>
      <c r="G3">
        <v>14000</v>
      </c>
      <c r="H3">
        <v>14000</v>
      </c>
      <c r="I3">
        <v>3</v>
      </c>
      <c r="J3">
        <v>3</v>
      </c>
      <c r="K3">
        <v>17</v>
      </c>
      <c r="L3">
        <v>16</v>
      </c>
      <c r="M3" s="5">
        <f t="shared" ref="M3:M6" si="2">(H3-G3)*$B$9+ (J3-I3)*$B$10 + (K3-L3)*$B$11</f>
        <v>500</v>
      </c>
      <c r="N3" s="1"/>
      <c r="Q3" s="2"/>
      <c r="R3" s="1"/>
    </row>
    <row r="4" spans="1:18">
      <c r="A4" t="s">
        <v>4</v>
      </c>
      <c r="B4" t="s">
        <v>5</v>
      </c>
      <c r="C4" s="4">
        <v>38459</v>
      </c>
      <c r="D4" s="9">
        <f t="shared" si="0"/>
        <v>38479</v>
      </c>
      <c r="E4">
        <v>1.7</v>
      </c>
      <c r="F4">
        <f t="shared" si="1"/>
        <v>0.87739726027397258</v>
      </c>
      <c r="G4">
        <v>23000</v>
      </c>
      <c r="H4">
        <v>23000</v>
      </c>
      <c r="I4">
        <v>8</v>
      </c>
      <c r="J4">
        <v>8.5</v>
      </c>
      <c r="K4">
        <v>12</v>
      </c>
      <c r="L4">
        <v>12</v>
      </c>
      <c r="M4" s="5">
        <f t="shared" si="2"/>
        <v>250</v>
      </c>
      <c r="N4" s="1"/>
      <c r="R4" s="1"/>
    </row>
    <row r="5" spans="1:18">
      <c r="A5" t="s">
        <v>6</v>
      </c>
      <c r="B5" t="s">
        <v>7</v>
      </c>
      <c r="C5" s="4">
        <v>38168</v>
      </c>
      <c r="D5" s="9">
        <f t="shared" si="0"/>
        <v>38188</v>
      </c>
      <c r="E5">
        <v>2.5</v>
      </c>
      <c r="F5">
        <f t="shared" si="1"/>
        <v>1.2773972602739727</v>
      </c>
      <c r="G5">
        <v>25000</v>
      </c>
      <c r="H5">
        <v>25000</v>
      </c>
      <c r="I5">
        <v>9.4</v>
      </c>
      <c r="J5">
        <v>9.4</v>
      </c>
      <c r="K5">
        <v>15.5</v>
      </c>
      <c r="L5">
        <v>15</v>
      </c>
      <c r="M5" s="5">
        <f t="shared" si="2"/>
        <v>250</v>
      </c>
      <c r="N5" s="1"/>
      <c r="R5" s="1"/>
    </row>
    <row r="6" spans="1:18">
      <c r="A6" t="s">
        <v>8</v>
      </c>
      <c r="B6" t="s">
        <v>9</v>
      </c>
      <c r="C6" s="4">
        <v>38497</v>
      </c>
      <c r="D6" s="9">
        <f t="shared" si="0"/>
        <v>38505</v>
      </c>
      <c r="E6">
        <v>2.6</v>
      </c>
      <c r="F6">
        <f t="shared" si="1"/>
        <v>1.310958904109589</v>
      </c>
      <c r="G6">
        <v>19000</v>
      </c>
      <c r="H6">
        <v>19000</v>
      </c>
      <c r="I6">
        <v>4</v>
      </c>
      <c r="J6">
        <v>4.2</v>
      </c>
      <c r="K6">
        <v>11</v>
      </c>
      <c r="L6">
        <v>11</v>
      </c>
      <c r="M6" s="5">
        <f t="shared" si="2"/>
        <v>100.00000000000009</v>
      </c>
      <c r="N6" s="1"/>
      <c r="R6" s="1"/>
    </row>
    <row r="9" spans="1:18" ht="25.5">
      <c r="A9" s="8" t="s">
        <v>62</v>
      </c>
      <c r="B9">
        <v>2</v>
      </c>
    </row>
    <row r="10" spans="1:18" ht="25.5">
      <c r="A10" s="8" t="s">
        <v>33</v>
      </c>
      <c r="B10">
        <v>500</v>
      </c>
    </row>
    <row r="11" spans="1:18">
      <c r="A11" s="8" t="s">
        <v>32</v>
      </c>
      <c r="B11">
        <v>500</v>
      </c>
    </row>
    <row r="12" spans="1:18">
      <c r="A12" s="8" t="s">
        <v>39</v>
      </c>
      <c r="B12">
        <v>40</v>
      </c>
    </row>
    <row r="13" spans="1:18" ht="25.5">
      <c r="A13" s="8" t="s">
        <v>40</v>
      </c>
      <c r="B13">
        <v>40</v>
      </c>
    </row>
    <row r="14" spans="1:18" ht="25.5">
      <c r="A14" s="8" t="s">
        <v>64</v>
      </c>
      <c r="B14">
        <v>1</v>
      </c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6"/>
  <sheetViews>
    <sheetView workbookViewId="0">
      <selection activeCell="F2" sqref="F2"/>
    </sheetView>
  </sheetViews>
  <sheetFormatPr defaultRowHeight="12.75"/>
  <cols>
    <col min="5" max="6" width="10.42578125" customWidth="1"/>
    <col min="8" max="8" width="10.140625" bestFit="1" customWidth="1"/>
  </cols>
  <sheetData>
    <row r="1" spans="1:8" s="3" customFormat="1" ht="24.75" customHeight="1">
      <c r="A1" s="3" t="s">
        <v>10</v>
      </c>
      <c r="B1" s="3" t="s">
        <v>34</v>
      </c>
      <c r="C1" s="3" t="s">
        <v>35</v>
      </c>
      <c r="E1" s="3" t="s">
        <v>17</v>
      </c>
      <c r="G1" s="3" t="s">
        <v>18</v>
      </c>
      <c r="H1" s="3" t="s">
        <v>23</v>
      </c>
    </row>
    <row r="2" spans="1:8">
      <c r="A2" t="s">
        <v>0</v>
      </c>
      <c r="B2">
        <v>1000</v>
      </c>
      <c r="C2">
        <v>1000</v>
      </c>
      <c r="D2">
        <v>1188</v>
      </c>
      <c r="E2">
        <v>1188</v>
      </c>
      <c r="F2" s="5">
        <v>28</v>
      </c>
      <c r="G2" s="5">
        <v>28</v>
      </c>
      <c r="H2" s="5">
        <f>E2*G2</f>
        <v>33264</v>
      </c>
    </row>
    <row r="3" spans="1:8">
      <c r="A3" t="s">
        <v>2</v>
      </c>
      <c r="B3">
        <v>1000</v>
      </c>
      <c r="C3">
        <v>1000</v>
      </c>
      <c r="D3">
        <v>1802</v>
      </c>
      <c r="E3">
        <v>1802</v>
      </c>
      <c r="F3" s="5">
        <v>21</v>
      </c>
      <c r="G3" s="5">
        <v>21</v>
      </c>
      <c r="H3" s="5">
        <f t="shared" ref="H3:H6" si="0">E3*G3</f>
        <v>37842</v>
      </c>
    </row>
    <row r="4" spans="1:8">
      <c r="A4" t="s">
        <v>4</v>
      </c>
      <c r="B4">
        <v>1000</v>
      </c>
      <c r="C4">
        <v>1000</v>
      </c>
      <c r="D4">
        <v>406</v>
      </c>
      <c r="E4">
        <v>406</v>
      </c>
      <c r="F4" s="5">
        <v>38</v>
      </c>
      <c r="G4" s="5">
        <v>40</v>
      </c>
      <c r="H4" s="5">
        <f t="shared" si="0"/>
        <v>16240</v>
      </c>
    </row>
    <row r="5" spans="1:8">
      <c r="A5" t="s">
        <v>6</v>
      </c>
      <c r="B5">
        <v>1000</v>
      </c>
      <c r="C5">
        <v>1000</v>
      </c>
      <c r="D5">
        <v>436</v>
      </c>
      <c r="E5">
        <v>436</v>
      </c>
      <c r="F5" s="5">
        <v>33</v>
      </c>
      <c r="G5" s="5">
        <v>37</v>
      </c>
      <c r="H5" s="5">
        <f t="shared" si="0"/>
        <v>16132</v>
      </c>
    </row>
    <row r="6" spans="1:8">
      <c r="A6" t="s">
        <v>8</v>
      </c>
      <c r="B6">
        <v>1000</v>
      </c>
      <c r="C6">
        <v>1000</v>
      </c>
      <c r="D6">
        <v>376</v>
      </c>
      <c r="E6">
        <v>376</v>
      </c>
      <c r="F6" s="5">
        <v>33</v>
      </c>
      <c r="G6" s="5">
        <v>37</v>
      </c>
      <c r="H6" s="5">
        <f t="shared" si="0"/>
        <v>13912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Q28"/>
  <sheetViews>
    <sheetView tabSelected="1" topLeftCell="A4" workbookViewId="0">
      <selection activeCell="E15" sqref="E15"/>
    </sheetView>
  </sheetViews>
  <sheetFormatPr defaultRowHeight="12.75"/>
  <cols>
    <col min="1" max="1" width="17.5703125" style="3" customWidth="1"/>
    <col min="13" max="13" width="11" customWidth="1"/>
  </cols>
  <sheetData>
    <row r="1" spans="1:17" hidden="1">
      <c r="A1" s="3" t="s">
        <v>30</v>
      </c>
      <c r="B1">
        <v>700</v>
      </c>
    </row>
    <row r="2" spans="1:17" hidden="1">
      <c r="A2" s="3" t="s">
        <v>37</v>
      </c>
      <c r="B2">
        <v>700</v>
      </c>
    </row>
    <row r="3" spans="1:17" hidden="1">
      <c r="A3" s="3" t="s">
        <v>47</v>
      </c>
      <c r="B3">
        <v>0.66</v>
      </c>
    </row>
    <row r="4" spans="1:17" ht="38.25">
      <c r="A4" s="3" t="s">
        <v>10</v>
      </c>
      <c r="B4" s="3" t="s">
        <v>36</v>
      </c>
      <c r="C4" s="3" t="s">
        <v>38</v>
      </c>
      <c r="D4" s="3" t="s">
        <v>19</v>
      </c>
      <c r="E4" s="3" t="s">
        <v>20</v>
      </c>
      <c r="F4" s="3" t="s">
        <v>21</v>
      </c>
      <c r="G4" s="3" t="s">
        <v>27</v>
      </c>
      <c r="H4" s="3" t="s">
        <v>31</v>
      </c>
      <c r="I4" s="3" t="s">
        <v>29</v>
      </c>
      <c r="J4" s="3" t="s">
        <v>30</v>
      </c>
      <c r="K4" s="3" t="s">
        <v>22</v>
      </c>
      <c r="L4" s="3" t="s">
        <v>26</v>
      </c>
      <c r="M4" s="3" t="s">
        <v>28</v>
      </c>
      <c r="N4" s="3" t="s">
        <v>44</v>
      </c>
      <c r="O4" s="3" t="s">
        <v>46</v>
      </c>
      <c r="P4" s="3" t="s">
        <v>24</v>
      </c>
      <c r="Q4" s="3" t="s">
        <v>25</v>
      </c>
    </row>
    <row r="5" spans="1:17">
      <c r="A5" t="s">
        <v>0</v>
      </c>
      <c r="B5">
        <v>0</v>
      </c>
      <c r="C5">
        <v>1188</v>
      </c>
      <c r="D5" s="5">
        <v>11.59</v>
      </c>
      <c r="E5" s="5">
        <f>IF(O5&lt;=100%,HR!$A$23/H5, (100%*HR!$A$23/H5+((O5-100%)*1.5*HR!$A$23/H5)))</f>
        <v>0</v>
      </c>
      <c r="F5" s="1">
        <v>0.28999999999999998</v>
      </c>
      <c r="G5" s="1">
        <v>0</v>
      </c>
      <c r="H5">
        <v>4</v>
      </c>
      <c r="I5">
        <v>5</v>
      </c>
      <c r="J5" s="5">
        <f>(I5-H5)*$B$1</f>
        <v>700</v>
      </c>
      <c r="K5" s="2">
        <v>1800</v>
      </c>
      <c r="L5" s="1"/>
      <c r="M5" s="7">
        <f>L5*$B$2</f>
        <v>0</v>
      </c>
      <c r="N5" s="2">
        <f>C5/H5*$B$3</f>
        <v>196.02</v>
      </c>
      <c r="O5" s="10">
        <f>$N$10/$P$5</f>
        <v>1.16974</v>
      </c>
      <c r="P5" s="6">
        <v>600</v>
      </c>
    </row>
    <row r="6" spans="1:17">
      <c r="A6" t="s">
        <v>2</v>
      </c>
      <c r="B6">
        <v>0</v>
      </c>
      <c r="C6">
        <v>1802</v>
      </c>
      <c r="D6" s="5">
        <v>7.81</v>
      </c>
      <c r="E6" s="5">
        <f>IF(O6&lt;=100%,HR!$A$23/H6, (100%*HR!$A$23/H6+((O6-100%)*1.5*HR!$A$23/H6)))</f>
        <v>0</v>
      </c>
      <c r="F6" s="1">
        <v>0.27</v>
      </c>
      <c r="G6" s="1">
        <v>0.3</v>
      </c>
      <c r="H6">
        <v>5</v>
      </c>
      <c r="I6">
        <v>6</v>
      </c>
      <c r="J6" s="5">
        <f>(I6-H6)*$B$1</f>
        <v>700</v>
      </c>
      <c r="K6" s="2">
        <v>1400</v>
      </c>
      <c r="L6" s="1"/>
      <c r="M6" s="7">
        <f>L6*$B$2</f>
        <v>0</v>
      </c>
      <c r="N6" s="2">
        <f>C6/H6*$B$3</f>
        <v>237.864</v>
      </c>
      <c r="O6" s="10">
        <f>$N$10/$P$5</f>
        <v>1.16974</v>
      </c>
    </row>
    <row r="7" spans="1:17">
      <c r="A7" t="s">
        <v>4</v>
      </c>
      <c r="B7">
        <v>0</v>
      </c>
      <c r="C7">
        <v>406</v>
      </c>
      <c r="D7" s="5">
        <v>15.98</v>
      </c>
      <c r="E7" s="5">
        <f>IF(O7&lt;=100%,HR!$A$23/H7, (100%*HR!$A$23/H7+((O7-100%)*1.5*HR!$A$23/H7)))</f>
        <v>0</v>
      </c>
      <c r="F7" s="1">
        <v>0.33</v>
      </c>
      <c r="G7" s="1">
        <v>0</v>
      </c>
      <c r="H7">
        <v>3</v>
      </c>
      <c r="I7">
        <v>4</v>
      </c>
      <c r="J7" s="5">
        <f>(I7-H7)*$B$1</f>
        <v>700</v>
      </c>
      <c r="K7">
        <v>900</v>
      </c>
      <c r="L7" s="1"/>
      <c r="M7" s="7">
        <f>L7*$B$2</f>
        <v>0</v>
      </c>
      <c r="N7" s="2">
        <f>C7/H7*$B$3</f>
        <v>89.320000000000007</v>
      </c>
      <c r="O7" s="10">
        <f>$N$10/$P$5</f>
        <v>1.16974</v>
      </c>
    </row>
    <row r="8" spans="1:17">
      <c r="A8" t="s">
        <v>6</v>
      </c>
      <c r="B8">
        <v>0</v>
      </c>
      <c r="C8">
        <v>436</v>
      </c>
      <c r="D8" s="5">
        <v>15.87</v>
      </c>
      <c r="E8" s="5">
        <f>IF(O8&lt;=100%,HR!$A$23/H8, (100%*HR!$A$23/H8+((O8-100%)*1.5*HR!$A$23/H8)))</f>
        <v>0</v>
      </c>
      <c r="F8" s="1">
        <v>0.23</v>
      </c>
      <c r="G8" s="1">
        <v>0</v>
      </c>
      <c r="H8">
        <v>3</v>
      </c>
      <c r="I8">
        <v>4</v>
      </c>
      <c r="J8" s="5">
        <f>(I8-H8)*$B$1</f>
        <v>700</v>
      </c>
      <c r="K8">
        <v>600</v>
      </c>
      <c r="L8" s="1"/>
      <c r="M8" s="7">
        <f>L8*$B$2</f>
        <v>0</v>
      </c>
      <c r="N8" s="2">
        <f>C8/H8*$B$3</f>
        <v>95.920000000000016</v>
      </c>
      <c r="O8" s="10">
        <f>$N$10/$P$5</f>
        <v>1.16974</v>
      </c>
    </row>
    <row r="9" spans="1:17">
      <c r="A9" t="s">
        <v>8</v>
      </c>
      <c r="B9">
        <v>0</v>
      </c>
      <c r="C9">
        <v>376</v>
      </c>
      <c r="D9" s="5">
        <v>13.62</v>
      </c>
      <c r="E9" s="5">
        <f>IF(O9&lt;=100%,HR!$A$23/H9, (100%*HR!$A$23/H9+((O9-100%)*1.5*HR!$A$23/H9)))</f>
        <v>0</v>
      </c>
      <c r="F9" s="1">
        <v>0.3</v>
      </c>
      <c r="G9" s="1">
        <v>0</v>
      </c>
      <c r="H9">
        <v>3</v>
      </c>
      <c r="I9">
        <v>4</v>
      </c>
      <c r="J9" s="5">
        <f>(I9-H9)*$B$1</f>
        <v>700</v>
      </c>
      <c r="K9">
        <v>600</v>
      </c>
      <c r="L9" s="1"/>
      <c r="M9" s="7">
        <f>L9*$B$2</f>
        <v>0</v>
      </c>
      <c r="N9" s="2">
        <f>C9/H9*$B$3</f>
        <v>82.72</v>
      </c>
      <c r="O9" s="10">
        <f>$N$10/$P$5</f>
        <v>1.16974</v>
      </c>
    </row>
    <row r="10" spans="1:17">
      <c r="A10" t="s">
        <v>45</v>
      </c>
      <c r="N10" s="2">
        <f>SUM(N5:N9)</f>
        <v>701.84400000000005</v>
      </c>
      <c r="O10" s="12"/>
    </row>
    <row r="12" spans="1:17">
      <c r="A12" s="3" t="s">
        <v>10</v>
      </c>
      <c r="B12" t="s">
        <v>0</v>
      </c>
      <c r="C12" t="s">
        <v>2</v>
      </c>
      <c r="D12" t="s">
        <v>4</v>
      </c>
      <c r="E12" t="s">
        <v>6</v>
      </c>
      <c r="F12" t="s">
        <v>8</v>
      </c>
      <c r="G12" t="s">
        <v>45</v>
      </c>
    </row>
    <row r="13" spans="1:17">
      <c r="A13" s="3" t="s">
        <v>36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7" ht="25.5">
      <c r="A14" s="3" t="s">
        <v>38</v>
      </c>
      <c r="B14">
        <v>1188</v>
      </c>
      <c r="C14">
        <v>1802</v>
      </c>
      <c r="D14">
        <v>406</v>
      </c>
      <c r="E14">
        <v>436</v>
      </c>
      <c r="F14">
        <v>376</v>
      </c>
    </row>
    <row r="15" spans="1:17">
      <c r="A15" s="3" t="s">
        <v>19</v>
      </c>
      <c r="B15" s="5">
        <v>11.59</v>
      </c>
      <c r="C15" s="5">
        <v>7.81</v>
      </c>
      <c r="D15" s="5">
        <v>15.98</v>
      </c>
      <c r="E15" s="5">
        <v>15.87</v>
      </c>
      <c r="F15" s="5">
        <v>13.62</v>
      </c>
    </row>
    <row r="16" spans="1:17">
      <c r="A16" s="3" t="s">
        <v>20</v>
      </c>
      <c r="B16" s="5">
        <f>IF(B26&lt;=100%,HR!$B$1/B19, (100%*HR!$B$1/B19+((B26-100%)*1.5*HR!$B$1/B19)))</f>
        <v>8.7822700000000005</v>
      </c>
      <c r="C16" s="5">
        <f>IF(C26&lt;=100%,HR!$B$1/C19, (100%*HR!$B$1/C19+((C26-100%)*1.5*HR!$B$1/C19)))</f>
        <v>7.0258159999999998</v>
      </c>
      <c r="D16" s="5">
        <f>IF(D26&lt;=100%,HR!$B$1/D19, (100%*HR!$B$1/D19+((D26-100%)*1.5*HR!$B$1/D19)))</f>
        <v>11.709693333333334</v>
      </c>
      <c r="E16" s="5">
        <f>IF(E26&lt;=100%,HR!$B$1/E19, (100%*HR!$B$1/E19+((E26-100%)*1.5*HR!$B$1/E19)))</f>
        <v>11.709693333333334</v>
      </c>
      <c r="F16" s="5">
        <f>IF(F26&lt;=100%,HR!$B$1/F19, (100%*HR!$B$1/F19+((F26-100%)*1.5*HR!$B$1/F19)))</f>
        <v>11.709693333333334</v>
      </c>
    </row>
    <row r="17" spans="1:7">
      <c r="A17" s="3" t="s">
        <v>21</v>
      </c>
      <c r="B17" s="1">
        <v>0.28999999999999998</v>
      </c>
      <c r="C17" s="1">
        <v>0.27</v>
      </c>
      <c r="D17" s="1">
        <v>0.33</v>
      </c>
      <c r="E17" s="1">
        <v>0.23</v>
      </c>
      <c r="F17" s="1">
        <v>0.3</v>
      </c>
    </row>
    <row r="18" spans="1:7" ht="25.5">
      <c r="A18" s="3" t="s">
        <v>27</v>
      </c>
      <c r="B18" s="1">
        <v>0</v>
      </c>
      <c r="C18" s="1">
        <v>0.3</v>
      </c>
      <c r="D18" s="1">
        <v>0</v>
      </c>
      <c r="E18" s="1">
        <v>0</v>
      </c>
      <c r="F18" s="1">
        <v>0</v>
      </c>
    </row>
    <row r="19" spans="1:7">
      <c r="A19" s="3" t="s">
        <v>31</v>
      </c>
      <c r="B19">
        <v>4</v>
      </c>
      <c r="C19">
        <v>5</v>
      </c>
      <c r="D19">
        <v>3</v>
      </c>
      <c r="E19">
        <v>3</v>
      </c>
      <c r="F19">
        <v>3</v>
      </c>
    </row>
    <row r="20" spans="1:7" ht="25.5">
      <c r="A20" s="3" t="s">
        <v>29</v>
      </c>
      <c r="B20">
        <v>5</v>
      </c>
      <c r="C20">
        <v>6</v>
      </c>
      <c r="D20">
        <v>4</v>
      </c>
      <c r="E20">
        <v>4</v>
      </c>
      <c r="F20">
        <v>4</v>
      </c>
    </row>
    <row r="21" spans="1:7">
      <c r="A21" s="3" t="s">
        <v>30</v>
      </c>
      <c r="B21" s="5">
        <f>(B20-B19)*$B$1</f>
        <v>700</v>
      </c>
      <c r="C21" s="5">
        <f t="shared" ref="C21:F21" si="0">(C20-C19)*$B$1</f>
        <v>700</v>
      </c>
      <c r="D21" s="5">
        <f t="shared" si="0"/>
        <v>700</v>
      </c>
      <c r="E21" s="5">
        <f t="shared" si="0"/>
        <v>700</v>
      </c>
      <c r="F21" s="5">
        <f t="shared" si="0"/>
        <v>700</v>
      </c>
    </row>
    <row r="22" spans="1:7" ht="25.5">
      <c r="A22" s="3" t="s">
        <v>22</v>
      </c>
      <c r="B22" s="2">
        <v>1800</v>
      </c>
      <c r="C22" s="2">
        <v>1400</v>
      </c>
      <c r="D22">
        <v>900</v>
      </c>
      <c r="E22">
        <v>600</v>
      </c>
      <c r="F22">
        <v>600</v>
      </c>
    </row>
    <row r="23" spans="1:7">
      <c r="A23" s="3" t="s">
        <v>26</v>
      </c>
      <c r="B23" s="1"/>
      <c r="C23" s="1"/>
      <c r="D23" s="1"/>
      <c r="E23" s="1"/>
      <c r="F23" s="1"/>
    </row>
    <row r="24" spans="1:7">
      <c r="A24" s="3" t="s">
        <v>28</v>
      </c>
      <c r="B24" s="7">
        <f>B23*$B$2</f>
        <v>0</v>
      </c>
      <c r="C24" s="7">
        <f t="shared" ref="C24:F24" si="1">C23*$B$2</f>
        <v>0</v>
      </c>
      <c r="D24" s="7">
        <f t="shared" si="1"/>
        <v>0</v>
      </c>
      <c r="E24" s="7">
        <f t="shared" si="1"/>
        <v>0</v>
      </c>
      <c r="F24" s="7">
        <f t="shared" si="1"/>
        <v>0</v>
      </c>
    </row>
    <row r="25" spans="1:7">
      <c r="A25" s="3" t="s">
        <v>44</v>
      </c>
      <c r="B25" s="2">
        <f>B14/B19*$B$3</f>
        <v>196.02</v>
      </c>
      <c r="C25" s="2">
        <f t="shared" ref="C25:F25" si="2">C14/C19*$B$3</f>
        <v>237.864</v>
      </c>
      <c r="D25" s="2">
        <f t="shared" si="2"/>
        <v>89.320000000000007</v>
      </c>
      <c r="E25" s="2">
        <f t="shared" si="2"/>
        <v>95.920000000000016</v>
      </c>
      <c r="F25" s="2">
        <f t="shared" si="2"/>
        <v>82.72</v>
      </c>
      <c r="G25" s="2">
        <f>SUM(B25:F25)</f>
        <v>701.84400000000005</v>
      </c>
    </row>
    <row r="26" spans="1:7">
      <c r="A26" s="3" t="s">
        <v>46</v>
      </c>
      <c r="B26" s="10">
        <f>$G$25/$B$27</f>
        <v>1.16974</v>
      </c>
      <c r="C26" s="10">
        <f>$G$25/$B$27</f>
        <v>1.16974</v>
      </c>
      <c r="D26" s="10">
        <f>$G$25/$B$27</f>
        <v>1.16974</v>
      </c>
      <c r="E26" s="10">
        <f>$G$25/$B$27</f>
        <v>1.16974</v>
      </c>
      <c r="F26" s="10">
        <f>$G$25/$B$27</f>
        <v>1.16974</v>
      </c>
      <c r="G26" s="12"/>
    </row>
    <row r="27" spans="1:7">
      <c r="A27" s="3" t="s">
        <v>24</v>
      </c>
      <c r="B27" s="6">
        <v>600</v>
      </c>
    </row>
    <row r="28" spans="1:7">
      <c r="A28" s="3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8" sqref="A8"/>
    </sheetView>
  </sheetViews>
  <sheetFormatPr defaultRowHeight="12.75"/>
  <sheetData>
    <row r="1" spans="1:2">
      <c r="A1" t="s">
        <v>43</v>
      </c>
      <c r="B1" s="1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3"/>
  <sheetViews>
    <sheetView workbookViewId="0">
      <selection activeCell="B3" sqref="B3"/>
    </sheetView>
  </sheetViews>
  <sheetFormatPr defaultRowHeight="12.75"/>
  <cols>
    <col min="1" max="1" width="14" bestFit="1" customWidth="1"/>
  </cols>
  <sheetData>
    <row r="1" spans="1:2">
      <c r="A1" t="s">
        <v>49</v>
      </c>
      <c r="B1">
        <v>65000</v>
      </c>
    </row>
    <row r="2" spans="1:2">
      <c r="A2" t="s">
        <v>50</v>
      </c>
      <c r="B2">
        <v>15000</v>
      </c>
    </row>
    <row r="3" spans="1:2">
      <c r="A3" t="s">
        <v>51</v>
      </c>
      <c r="B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2:G28"/>
  <sheetViews>
    <sheetView workbookViewId="0">
      <selection activeCell="E25" sqref="E25"/>
    </sheetView>
  </sheetViews>
  <sheetFormatPr defaultRowHeight="12.75"/>
  <cols>
    <col min="1" max="1" width="13.42578125" bestFit="1" customWidth="1"/>
    <col min="2" max="6" width="12.5703125" bestFit="1" customWidth="1"/>
    <col min="7" max="7" width="12.28515625" bestFit="1" customWidth="1"/>
  </cols>
  <sheetData>
    <row r="2" spans="1:7">
      <c r="A2" s="3" t="s">
        <v>10</v>
      </c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45</v>
      </c>
    </row>
    <row r="3" spans="1:7">
      <c r="A3" t="s">
        <v>41</v>
      </c>
      <c r="B3" s="5">
        <f>Marketing!H2</f>
        <v>33264</v>
      </c>
      <c r="C3" s="5">
        <f>Marketing!H3</f>
        <v>37842</v>
      </c>
      <c r="D3" s="5">
        <f>Marketing!H4</f>
        <v>16240</v>
      </c>
      <c r="E3" s="5">
        <f>Marketing!H5</f>
        <v>16132</v>
      </c>
      <c r="F3" s="5">
        <f>Marketing!H6</f>
        <v>13912</v>
      </c>
      <c r="G3" s="5">
        <f>SUM(B3:F3)</f>
        <v>117390</v>
      </c>
    </row>
    <row r="4" spans="1:7">
      <c r="A4" t="s">
        <v>20</v>
      </c>
      <c r="B4" s="5">
        <f>Production!B14*Production!B16</f>
        <v>10433.33676</v>
      </c>
      <c r="C4" s="5">
        <f>Production!C14*Production!C16</f>
        <v>12660.520431999999</v>
      </c>
      <c r="D4" s="5">
        <f>Production!D14*Production!D16</f>
        <v>4754.1354933333332</v>
      </c>
      <c r="E4" s="5">
        <f>Production!E14*Production!E16</f>
        <v>5105.4262933333339</v>
      </c>
      <c r="F4" s="5">
        <f>Production!F14*Production!F16</f>
        <v>4402.8446933333335</v>
      </c>
      <c r="G4" s="5">
        <f t="shared" ref="G4:G17" si="0">SUM(B4:F4)</f>
        <v>37356.263672000001</v>
      </c>
    </row>
    <row r="5" spans="1:7">
      <c r="A5" t="s">
        <v>19</v>
      </c>
      <c r="B5" s="5">
        <f>Production!B15*Production!B14</f>
        <v>13768.92</v>
      </c>
      <c r="C5" s="5">
        <f>Production!C15*Production!C14</f>
        <v>14073.619999999999</v>
      </c>
      <c r="D5" s="5">
        <f>Production!D15*Production!D14</f>
        <v>6487.88</v>
      </c>
      <c r="E5" s="5">
        <f>Production!E15*Production!E14</f>
        <v>6919.32</v>
      </c>
      <c r="F5" s="5">
        <f>Production!F15*Production!F14</f>
        <v>5121.12</v>
      </c>
      <c r="G5" s="5">
        <f t="shared" si="0"/>
        <v>46370.86</v>
      </c>
    </row>
    <row r="6" spans="1:7">
      <c r="A6" t="s">
        <v>30</v>
      </c>
      <c r="B6" s="5">
        <f>Production!B21</f>
        <v>700</v>
      </c>
      <c r="C6" s="5">
        <f>Production!C21</f>
        <v>700</v>
      </c>
      <c r="D6" s="5">
        <f>Production!D21</f>
        <v>700</v>
      </c>
      <c r="E6" s="5">
        <f>Production!E21</f>
        <v>700</v>
      </c>
      <c r="F6" s="5">
        <f>Production!F21</f>
        <v>700</v>
      </c>
      <c r="G6" s="5">
        <f t="shared" si="0"/>
        <v>3500</v>
      </c>
    </row>
    <row r="7" spans="1:7">
      <c r="A7" t="s">
        <v>42</v>
      </c>
      <c r="B7" s="5">
        <f>Production!B24</f>
        <v>0</v>
      </c>
      <c r="C7" s="5">
        <f>Production!C24</f>
        <v>0</v>
      </c>
      <c r="D7" s="5">
        <f>Production!D24</f>
        <v>0</v>
      </c>
      <c r="E7" s="5">
        <f>Production!E24</f>
        <v>0</v>
      </c>
      <c r="F7" s="5">
        <f>Production!F24</f>
        <v>0</v>
      </c>
      <c r="G7" s="5">
        <f t="shared" si="0"/>
        <v>0</v>
      </c>
    </row>
    <row r="8" spans="1:7">
      <c r="A8" t="s">
        <v>16</v>
      </c>
      <c r="B8" s="5">
        <f>'R&amp;D'!M2</f>
        <v>1500</v>
      </c>
      <c r="C8" s="5">
        <f>'R&amp;D'!M3</f>
        <v>500</v>
      </c>
      <c r="D8" s="5">
        <f>'R&amp;D'!M4</f>
        <v>250</v>
      </c>
      <c r="E8" s="5">
        <f>'R&amp;D'!M5</f>
        <v>250</v>
      </c>
      <c r="F8" s="5">
        <f>'R&amp;D'!M6</f>
        <v>100.00000000000009</v>
      </c>
      <c r="G8" s="5">
        <f t="shared" si="0"/>
        <v>2600</v>
      </c>
    </row>
    <row r="9" spans="1:7">
      <c r="A9" t="s">
        <v>61</v>
      </c>
      <c r="B9" s="5">
        <f>SUM(Marketing!B2:C2)</f>
        <v>2000</v>
      </c>
      <c r="C9" s="5">
        <f>SUM(Marketing!B3:C3)</f>
        <v>2000</v>
      </c>
      <c r="D9" s="5">
        <f>SUM(Marketing!B4:C4)</f>
        <v>2000</v>
      </c>
      <c r="E9" s="5">
        <f>SUM(Marketing!B5:C5)</f>
        <v>2000</v>
      </c>
      <c r="F9" s="5">
        <f>SUM(Marketing!B6:C6)</f>
        <v>2000</v>
      </c>
      <c r="G9" s="5">
        <f t="shared" si="0"/>
        <v>10000</v>
      </c>
    </row>
    <row r="10" spans="1:7">
      <c r="A10" t="s">
        <v>58</v>
      </c>
      <c r="B10" s="5">
        <v>779</v>
      </c>
      <c r="C10" s="5">
        <v>779</v>
      </c>
      <c r="D10" s="5">
        <v>779</v>
      </c>
      <c r="E10" s="5">
        <v>779</v>
      </c>
      <c r="F10" s="5">
        <v>779</v>
      </c>
      <c r="G10" s="5">
        <f t="shared" si="0"/>
        <v>3895</v>
      </c>
    </row>
    <row r="11" spans="1:7">
      <c r="A11" t="s">
        <v>48</v>
      </c>
      <c r="B11" s="5">
        <f>SUM(B4:B7)*10%</f>
        <v>2490.225676</v>
      </c>
      <c r="C11" s="5">
        <f t="shared" ref="C11:F11" si="1">SUM(C4:C7)*10%</f>
        <v>2743.4140432000004</v>
      </c>
      <c r="D11" s="5">
        <f t="shared" si="1"/>
        <v>1194.2015493333333</v>
      </c>
      <c r="E11" s="5">
        <f t="shared" si="1"/>
        <v>1272.4746293333335</v>
      </c>
      <c r="F11" s="5">
        <f t="shared" si="1"/>
        <v>1022.3964693333334</v>
      </c>
      <c r="G11" s="5">
        <f t="shared" si="0"/>
        <v>8722.7123671999998</v>
      </c>
    </row>
    <row r="12" spans="1:7">
      <c r="A12" t="s">
        <v>57</v>
      </c>
      <c r="B12" s="5">
        <f>B3-SUM(B4:B11)</f>
        <v>1592.5175640000016</v>
      </c>
      <c r="C12" s="5">
        <f>C3-SUM(C4:C11)</f>
        <v>4385.4455248000013</v>
      </c>
      <c r="D12" s="5">
        <f>D3-SUM(D4:D11)</f>
        <v>74.782957333334707</v>
      </c>
      <c r="E12" s="5">
        <f>E3-SUM(E4:E11)</f>
        <v>-894.22092266666732</v>
      </c>
      <c r="F12" s="5">
        <f>F3-SUM(F4:F11)</f>
        <v>-213.36116266666613</v>
      </c>
      <c r="G12" s="5">
        <f t="shared" si="0"/>
        <v>4945.1639608000041</v>
      </c>
    </row>
    <row r="13" spans="1:7">
      <c r="A13" t="s">
        <v>21</v>
      </c>
      <c r="B13" s="10">
        <f>(B3-SUM(B4:B11))/B3</f>
        <v>4.7875107142857191E-2</v>
      </c>
      <c r="C13" s="10">
        <f t="shared" ref="C13:F13" si="2">(C3-SUM(C4:C11))/C3</f>
        <v>0.11588831258390152</v>
      </c>
      <c r="D13" s="10">
        <f t="shared" si="2"/>
        <v>4.6048619047619893E-3</v>
      </c>
      <c r="E13" s="10">
        <f t="shared" si="2"/>
        <v>-5.5431497809736385E-2</v>
      </c>
      <c r="F13" s="10">
        <f t="shared" si="2"/>
        <v>-1.5336483802951849E-2</v>
      </c>
      <c r="G13" s="10">
        <f>AVERAGE(B13:F13)</f>
        <v>1.9520060003766486E-2</v>
      </c>
    </row>
    <row r="14" spans="1:7">
      <c r="A14" t="s">
        <v>53</v>
      </c>
      <c r="B14" s="5">
        <f>(B3-SUM(B4:B11))*$B$19</f>
        <v>238.87763460000022</v>
      </c>
      <c r="C14" s="5">
        <f t="shared" ref="C14:F14" si="3">(C3-SUM(C4:C11))*$B$19</f>
        <v>657.81682872000022</v>
      </c>
      <c r="D14" s="5">
        <f t="shared" si="3"/>
        <v>11.217443600000205</v>
      </c>
      <c r="E14" s="5">
        <f t="shared" si="3"/>
        <v>-134.13313840000009</v>
      </c>
      <c r="F14" s="5">
        <f t="shared" si="3"/>
        <v>-32.004174399999918</v>
      </c>
      <c r="G14" s="5">
        <f t="shared" si="0"/>
        <v>741.77459412000064</v>
      </c>
    </row>
    <row r="15" spans="1:7">
      <c r="A15" t="s">
        <v>52</v>
      </c>
      <c r="B15" s="5">
        <f>Finance!$B$2*'P&amp;L'!$B$20*'P&amp;L'!B3/'P&amp;L'!$G$3+Finance!$B$3*'P&amp;L'!$B$21*'P&amp;L'!B3/'P&amp;L'!$G$3</f>
        <v>368.37209302325584</v>
      </c>
      <c r="C15" s="5">
        <f>Finance!$B$2*'P&amp;L'!$B$20*'P&amp;L'!C3/'P&amp;L'!$G$3+Finance!$B$3*'P&amp;L'!$B$21*'P&amp;L'!C3/'P&amp;L'!$G$3</f>
        <v>419.06976744186045</v>
      </c>
      <c r="D15" s="5">
        <f>Finance!$B$2*'P&amp;L'!$B$20*'P&amp;L'!D3/'P&amp;L'!$G$3+Finance!$B$3*'P&amp;L'!$B$21*'P&amp;L'!D3/'P&amp;L'!$G$3</f>
        <v>179.84496124031006</v>
      </c>
      <c r="E15" s="5">
        <f>Finance!$B$2*'P&amp;L'!$B$20*'P&amp;L'!E3/'P&amp;L'!$G$3+Finance!$B$3*'P&amp;L'!$B$21*'P&amp;L'!E3/'P&amp;L'!$G$3</f>
        <v>178.64894795127353</v>
      </c>
      <c r="F15" s="5">
        <f>Finance!$B$2*'P&amp;L'!$B$20*'P&amp;L'!F3/'P&amp;L'!$G$3+Finance!$B$3*'P&amp;L'!$B$21*'P&amp;L'!F3/'P&amp;L'!$G$3</f>
        <v>154.06423034330012</v>
      </c>
      <c r="G15" s="5">
        <f t="shared" si="0"/>
        <v>1300</v>
      </c>
    </row>
    <row r="16" spans="1:7">
      <c r="A16" t="s">
        <v>59</v>
      </c>
      <c r="B16" s="5">
        <v>85</v>
      </c>
      <c r="C16" s="5">
        <v>85</v>
      </c>
      <c r="D16" s="5">
        <v>85</v>
      </c>
      <c r="E16" s="5">
        <v>85</v>
      </c>
      <c r="F16" s="5">
        <v>85</v>
      </c>
      <c r="G16" s="5">
        <f t="shared" si="0"/>
        <v>425</v>
      </c>
    </row>
    <row r="17" spans="1:7">
      <c r="A17" t="s">
        <v>60</v>
      </c>
      <c r="B17" s="5">
        <f>B3-(SUM(B4:B11)+SUM(B14:B16))</f>
        <v>900.26783637674453</v>
      </c>
      <c r="C17" s="5">
        <f t="shared" ref="C17:F17" si="4">C3-(SUM(C4:C11)+SUM(C14:C16))</f>
        <v>3223.5589286381437</v>
      </c>
      <c r="D17" s="5">
        <f t="shared" si="4"/>
        <v>-201.27944750697498</v>
      </c>
      <c r="E17" s="5">
        <f t="shared" si="4"/>
        <v>-1023.7367322179416</v>
      </c>
      <c r="F17" s="5">
        <f t="shared" si="4"/>
        <v>-420.42121860996667</v>
      </c>
      <c r="G17" s="5">
        <f t="shared" si="0"/>
        <v>2478.389366680005</v>
      </c>
    </row>
    <row r="18" spans="1:7">
      <c r="B18" s="5"/>
      <c r="C18" s="5"/>
      <c r="D18" s="5"/>
      <c r="E18" s="5"/>
      <c r="F18" s="5"/>
    </row>
    <row r="19" spans="1:7">
      <c r="A19" t="s">
        <v>54</v>
      </c>
      <c r="B19" s="10">
        <v>0.15</v>
      </c>
      <c r="C19" s="5"/>
      <c r="D19" s="5"/>
      <c r="E19" s="5"/>
      <c r="F19" s="5"/>
    </row>
    <row r="20" spans="1:7">
      <c r="A20" t="s">
        <v>56</v>
      </c>
      <c r="B20" s="10">
        <v>0.06</v>
      </c>
      <c r="C20" s="5"/>
      <c r="D20" s="5"/>
      <c r="E20" s="5"/>
      <c r="F20" s="5"/>
    </row>
    <row r="21" spans="1:7">
      <c r="A21" t="s">
        <v>55</v>
      </c>
      <c r="B21" s="10">
        <v>0.08</v>
      </c>
      <c r="C21" s="5"/>
      <c r="D21" s="5"/>
      <c r="E21" s="5"/>
      <c r="F21" s="5"/>
    </row>
    <row r="22" spans="1:7">
      <c r="B22" s="5"/>
      <c r="C22" s="5"/>
      <c r="D22" s="5"/>
      <c r="E22" s="5"/>
      <c r="F22" s="5"/>
    </row>
    <row r="23" spans="1:7">
      <c r="B23" s="5"/>
      <c r="C23" s="5"/>
      <c r="D23" s="5"/>
      <c r="E23" s="5"/>
      <c r="F23" s="5"/>
    </row>
    <row r="24" spans="1:7">
      <c r="B24" s="5"/>
      <c r="C24" s="5"/>
      <c r="D24" s="5"/>
      <c r="E24" s="5"/>
      <c r="F24" s="5"/>
    </row>
    <row r="25" spans="1:7">
      <c r="B25" s="5"/>
      <c r="C25" s="5"/>
      <c r="D25" s="5"/>
      <c r="E25" s="5"/>
      <c r="F25" s="5"/>
    </row>
    <row r="26" spans="1:7">
      <c r="B26" s="5"/>
      <c r="C26" s="5"/>
      <c r="D26" s="5"/>
      <c r="E26" s="5"/>
      <c r="F26" s="5"/>
    </row>
    <row r="27" spans="1:7">
      <c r="B27" s="5"/>
      <c r="C27" s="5"/>
      <c r="D27" s="5"/>
      <c r="E27" s="5"/>
      <c r="F27" s="5"/>
    </row>
    <row r="28" spans="1:7">
      <c r="B28" s="5"/>
      <c r="C28" s="5"/>
      <c r="D28" s="5"/>
      <c r="E28" s="5"/>
      <c r="F28" s="5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0" sqref="G30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R&amp;D</vt:lpstr>
      <vt:lpstr>Marketing</vt:lpstr>
      <vt:lpstr>Production</vt:lpstr>
      <vt:lpstr>HR</vt:lpstr>
      <vt:lpstr>Finance</vt:lpstr>
      <vt:lpstr>P&amp;L</vt:lpstr>
      <vt:lpstr>Balance Scorecard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2009-09-19T07:50:41Z</dcterms:created>
  <dcterms:modified xsi:type="dcterms:W3CDTF">2009-10-21T12:31:21Z</dcterms:modified>
</cp:coreProperties>
</file>