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5" windowWidth="19095" windowHeight="8670" activeTab="2"/>
  </bookViews>
  <sheets>
    <sheet name="R&amp;D" sheetId="1" r:id="rId1"/>
    <sheet name="Marketing" sheetId="2" r:id="rId2"/>
    <sheet name="Production" sheetId="3" r:id="rId3"/>
    <sheet name="HR" sheetId="6" r:id="rId4"/>
    <sheet name="Finance" sheetId="5" r:id="rId5"/>
    <sheet name="P&amp;L" sheetId="4" r:id="rId6"/>
    <sheet name="Balance Scorecard" sheetId="7" r:id="rId7"/>
  </sheets>
  <definedNames>
    <definedName name="production" localSheetId="2">Production!#REF!</definedName>
  </definedNames>
  <calcPr calcId="125725"/>
</workbook>
</file>

<file path=xl/calcChain.xml><?xml version="1.0" encoding="utf-8"?>
<calcChain xmlns="http://schemas.openxmlformats.org/spreadsheetml/2006/main">
  <c r="I6" i="3"/>
  <c r="I7"/>
  <c r="I8"/>
  <c r="I9"/>
  <c r="I5"/>
  <c r="E6"/>
  <c r="E7"/>
  <c r="E8"/>
  <c r="E9"/>
  <c r="E5"/>
  <c r="R6"/>
  <c r="R7"/>
  <c r="R8"/>
  <c r="R9"/>
  <c r="R5"/>
  <c r="B25"/>
  <c r="B24"/>
  <c r="Q5"/>
  <c r="N5"/>
  <c r="Q9"/>
  <c r="N9"/>
  <c r="Q8"/>
  <c r="N8"/>
  <c r="Q7"/>
  <c r="N7"/>
  <c r="Q6"/>
  <c r="N6"/>
  <c r="G8" i="4"/>
  <c r="F9"/>
  <c r="E9"/>
  <c r="D9"/>
  <c r="C9"/>
  <c r="B9"/>
  <c r="G10"/>
  <c r="G16"/>
  <c r="B21" i="3"/>
  <c r="B6" i="4" s="1"/>
  <c r="C25" i="3"/>
  <c r="D25"/>
  <c r="E25"/>
  <c r="F25"/>
  <c r="C5" i="4"/>
  <c r="D5"/>
  <c r="E5"/>
  <c r="F5"/>
  <c r="B5"/>
  <c r="F3"/>
  <c r="D3" i="1"/>
  <c r="D4"/>
  <c r="D5"/>
  <c r="D6"/>
  <c r="D2"/>
  <c r="C24" i="3"/>
  <c r="C7" i="4" s="1"/>
  <c r="D24" i="3"/>
  <c r="D7" i="4" s="1"/>
  <c r="E24" i="3"/>
  <c r="E7" i="4" s="1"/>
  <c r="F24" i="3"/>
  <c r="F7" i="4" s="1"/>
  <c r="B7"/>
  <c r="C21" i="3"/>
  <c r="C6" i="4" s="1"/>
  <c r="D21" i="3"/>
  <c r="D6" i="4" s="1"/>
  <c r="E21" i="3"/>
  <c r="E6" i="4" s="1"/>
  <c r="F21" i="3"/>
  <c r="F6" i="4" s="1"/>
  <c r="M3" i="1"/>
  <c r="F3" s="1"/>
  <c r="M4"/>
  <c r="F4" s="1"/>
  <c r="M5"/>
  <c r="F5" s="1"/>
  <c r="M6"/>
  <c r="F6" s="1"/>
  <c r="M2"/>
  <c r="F2" s="1"/>
  <c r="K3" i="2"/>
  <c r="C3" i="4" s="1"/>
  <c r="K4" i="2"/>
  <c r="D3" i="4" s="1"/>
  <c r="K5" i="2"/>
  <c r="E3" i="4" s="1"/>
  <c r="K6" i="2"/>
  <c r="K2"/>
  <c r="B3" i="4" s="1"/>
  <c r="G9" l="1"/>
  <c r="G25" i="3"/>
  <c r="D26" s="1"/>
  <c r="D16" s="1"/>
  <c r="D4" i="4" s="1"/>
  <c r="D11" s="1"/>
  <c r="D13" s="1"/>
  <c r="R10" i="3"/>
  <c r="S7" s="1"/>
  <c r="H7" s="1"/>
  <c r="G5" i="4"/>
  <c r="C8"/>
  <c r="E8"/>
  <c r="B8"/>
  <c r="D8"/>
  <c r="F8"/>
  <c r="G6"/>
  <c r="G7"/>
  <c r="G3"/>
  <c r="C15" s="1"/>
  <c r="B26" i="3"/>
  <c r="C26"/>
  <c r="C16" s="1"/>
  <c r="C4" i="4" s="1"/>
  <c r="S9" i="3" l="1"/>
  <c r="H9" s="1"/>
  <c r="S8"/>
  <c r="H8" s="1"/>
  <c r="S6"/>
  <c r="H6" s="1"/>
  <c r="S5"/>
  <c r="H5" s="1"/>
  <c r="F26"/>
  <c r="F16" s="1"/>
  <c r="F4" i="4" s="1"/>
  <c r="E26" i="3"/>
  <c r="E16" s="1"/>
  <c r="E4" i="4" s="1"/>
  <c r="E11" s="1"/>
  <c r="E12" s="1"/>
  <c r="B16" i="3"/>
  <c r="B4" i="4" s="1"/>
  <c r="D12"/>
  <c r="C11"/>
  <c r="C12" s="1"/>
  <c r="B15"/>
  <c r="D15"/>
  <c r="F15"/>
  <c r="E15"/>
  <c r="F11"/>
  <c r="F14" s="1"/>
  <c r="D14"/>
  <c r="D17" s="1"/>
  <c r="C14" l="1"/>
  <c r="B11"/>
  <c r="B14" s="1"/>
  <c r="G4"/>
  <c r="E13"/>
  <c r="E14"/>
  <c r="E17" s="1"/>
  <c r="C17"/>
  <c r="F17"/>
  <c r="C13"/>
  <c r="G15"/>
  <c r="F12"/>
  <c r="F13"/>
  <c r="G11" l="1"/>
  <c r="G14"/>
  <c r="B13"/>
  <c r="G13" s="1"/>
  <c r="B12"/>
  <c r="G12" s="1"/>
  <c r="B17"/>
  <c r="G17" s="1"/>
</calcChain>
</file>

<file path=xl/sharedStrings.xml><?xml version="1.0" encoding="utf-8"?>
<sst xmlns="http://schemas.openxmlformats.org/spreadsheetml/2006/main" count="130" uniqueCount="74">
  <si>
    <t>Able</t>
  </si>
  <si>
    <t>Trad</t>
  </si>
  <si>
    <t>Acre</t>
  </si>
  <si>
    <t>Low</t>
  </si>
  <si>
    <t>Adam</t>
  </si>
  <si>
    <t>High</t>
  </si>
  <si>
    <t>Aft</t>
  </si>
  <si>
    <t>Pfmn</t>
  </si>
  <si>
    <t>Agape</t>
  </si>
  <si>
    <t>Size</t>
  </si>
  <si>
    <t>Name</t>
  </si>
  <si>
    <t>Type</t>
  </si>
  <si>
    <t>Revision Date</t>
  </si>
  <si>
    <t>Age</t>
  </si>
  <si>
    <t>Performance Coordinate</t>
  </si>
  <si>
    <t>Size Coordinate</t>
  </si>
  <si>
    <t>R&amp;D Cost</t>
  </si>
  <si>
    <t>Forecasted Quantity</t>
  </si>
  <si>
    <t>Price</t>
  </si>
  <si>
    <t>Material Cost</t>
  </si>
  <si>
    <t>Labor Cost</t>
  </si>
  <si>
    <t>Contribution Margin</t>
  </si>
  <si>
    <t>Capacity Next Round</t>
  </si>
  <si>
    <t>Total Sales</t>
  </si>
  <si>
    <t>Old Labour</t>
  </si>
  <si>
    <t>New Labour</t>
  </si>
  <si>
    <t>New Capacity</t>
  </si>
  <si>
    <t>2nd Shift &amp; Over-time</t>
  </si>
  <si>
    <t>New Capacity Cost</t>
  </si>
  <si>
    <t>Automation Next Round</t>
  </si>
  <si>
    <t>Automation Cost</t>
  </si>
  <si>
    <t>Old Automation</t>
  </si>
  <si>
    <t>Size Cost</t>
  </si>
  <si>
    <t>Performance Cost</t>
  </si>
  <si>
    <t>Sales Cost</t>
  </si>
  <si>
    <t>Marketing Cost</t>
  </si>
  <si>
    <t>Inventory</t>
  </si>
  <si>
    <t>Capacity Cost</t>
  </si>
  <si>
    <t>Manufactored Quantity</t>
  </si>
  <si>
    <t>Size Factor</t>
  </si>
  <si>
    <t>Performance Factor</t>
  </si>
  <si>
    <t>Sales Revenue</t>
  </si>
  <si>
    <t>Plant Cost</t>
  </si>
  <si>
    <t>Hourly Rate</t>
  </si>
  <si>
    <t>Number of Labour</t>
  </si>
  <si>
    <t>Total</t>
  </si>
  <si>
    <t>Utilization</t>
  </si>
  <si>
    <t>Labour Factor</t>
  </si>
  <si>
    <t>S&amp;M</t>
  </si>
  <si>
    <t>Cash</t>
  </si>
  <si>
    <t>Long term Loan</t>
  </si>
  <si>
    <t>Short term Loan</t>
  </si>
  <si>
    <t>Interest</t>
  </si>
  <si>
    <t>Tax</t>
  </si>
  <si>
    <t>Tax rate</t>
  </si>
  <si>
    <t>Short term interest rate</t>
  </si>
  <si>
    <t>Long term interest rate</t>
  </si>
  <si>
    <t>EBIT</t>
  </si>
  <si>
    <t>Depreciation</t>
  </si>
  <si>
    <t>Profit Sharing</t>
  </si>
  <si>
    <t>Net Profit</t>
  </si>
  <si>
    <t>S&amp;M Cost</t>
  </si>
  <si>
    <t>Reliability Cost</t>
  </si>
  <si>
    <t>Reliability</t>
  </si>
  <si>
    <t xml:space="preserve">Reliability Factor </t>
  </si>
  <si>
    <t>SegmentType</t>
  </si>
  <si>
    <t>Perf</t>
  </si>
  <si>
    <t>TotalQty</t>
  </si>
  <si>
    <t>ManufacturedQty</t>
  </si>
  <si>
    <t>Category</t>
  </si>
  <si>
    <t>Previous Sales Cost</t>
  </si>
  <si>
    <t>Previous Marketing Cost</t>
  </si>
  <si>
    <t>Labor Rate</t>
  </si>
  <si>
    <t>Labour Cost</t>
  </si>
</sst>
</file>

<file path=xl/styles.xml><?xml version="1.0" encoding="utf-8"?>
<styleSheet xmlns="http://schemas.openxmlformats.org/spreadsheetml/2006/main">
  <numFmts count="5">
    <numFmt numFmtId="164" formatCode="[$-14009]dd/mm/yyyy;@"/>
    <numFmt numFmtId="165" formatCode="[$$-409]#,##0.00"/>
    <numFmt numFmtId="166" formatCode="[$$-409]#,##0"/>
    <numFmt numFmtId="167" formatCode="&quot;Rs.&quot;\ #,##0.00"/>
    <numFmt numFmtId="168" formatCode="[$$-409]#,##0.00_ ;\-[$$-409]#,##0.00\ "/>
  </numFmts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wrapText="1"/>
    </xf>
    <xf numFmtId="14" fontId="0" fillId="0" borderId="0" xfId="0" applyNumberFormat="1"/>
    <xf numFmtId="10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21"/>
  <sheetViews>
    <sheetView workbookViewId="0">
      <selection activeCell="F2" sqref="F2"/>
    </sheetView>
  </sheetViews>
  <sheetFormatPr defaultRowHeight="12.75"/>
  <cols>
    <col min="1" max="1" width="11.5703125" customWidth="1"/>
    <col min="3" max="4" width="10.140625" bestFit="1" customWidth="1"/>
    <col min="5" max="5" width="4" bestFit="1" customWidth="1"/>
    <col min="6" max="6" width="4.28515625" bestFit="1" customWidth="1"/>
    <col min="10" max="11" width="11.28515625" customWidth="1"/>
    <col min="12" max="12" width="10.28515625" customWidth="1"/>
    <col min="13" max="13" width="10.140625" bestFit="1" customWidth="1"/>
  </cols>
  <sheetData>
    <row r="1" spans="1:18" s="3" customFormat="1" ht="27.75" customHeight="1">
      <c r="A1" s="3" t="s">
        <v>10</v>
      </c>
      <c r="B1" s="3" t="s">
        <v>11</v>
      </c>
      <c r="D1" s="3" t="s">
        <v>12</v>
      </c>
      <c r="F1" s="3" t="s">
        <v>13</v>
      </c>
      <c r="H1" s="3" t="s">
        <v>63</v>
      </c>
      <c r="J1" s="3" t="s">
        <v>14</v>
      </c>
      <c r="L1" s="3" t="s">
        <v>15</v>
      </c>
      <c r="M1" s="3" t="s">
        <v>16</v>
      </c>
    </row>
    <row r="2" spans="1:18">
      <c r="A2" t="s">
        <v>0</v>
      </c>
      <c r="B2" t="s">
        <v>1</v>
      </c>
      <c r="C2" s="4">
        <v>38585</v>
      </c>
      <c r="D2" s="9">
        <f>C2+(H2-G2)*$B$14+(J2-I2)*$B$13+(K2-L2)*$B$12</f>
        <v>39125</v>
      </c>
      <c r="E2">
        <v>3.1</v>
      </c>
      <c r="F2">
        <f>IF(M2=0, E2, (E2+((H2-G2)*$B$14+(J2-I2)*$B$13+(K2-L2)*$B$12)/365)/2)</f>
        <v>2.2897260273972604</v>
      </c>
      <c r="G2">
        <v>17500</v>
      </c>
      <c r="H2">
        <v>18000</v>
      </c>
      <c r="I2">
        <v>5.5</v>
      </c>
      <c r="J2">
        <v>6</v>
      </c>
      <c r="K2">
        <v>14.5</v>
      </c>
      <c r="L2">
        <v>14</v>
      </c>
      <c r="M2" s="5">
        <f>(H2-G2)*$B$9+ (J2-I2)*$B$10 + (K2-L2)*$B$11</f>
        <v>1500</v>
      </c>
      <c r="N2" s="1"/>
      <c r="Q2" s="2"/>
      <c r="R2" s="1"/>
    </row>
    <row r="3" spans="1:18">
      <c r="A3" t="s">
        <v>2</v>
      </c>
      <c r="B3" t="s">
        <v>3</v>
      </c>
      <c r="C3" s="4">
        <v>38497</v>
      </c>
      <c r="D3" s="9">
        <f t="shared" ref="D3:D6" si="0">C3+(H3-G3)*$B$14+(J3-I3)*$B$13+(K3-L3)*$B$12</f>
        <v>38537</v>
      </c>
      <c r="E3">
        <v>4.5999999999999996</v>
      </c>
      <c r="F3">
        <f t="shared" ref="F3:F6" si="1">IF(M3=0, E3, (E3+((H3-G3)*$B$14+(J3-I3)*$B$13+(K3-L3)*$B$12)/365)/2)</f>
        <v>2.3547945205479452</v>
      </c>
      <c r="G3">
        <v>14000</v>
      </c>
      <c r="H3">
        <v>14000</v>
      </c>
      <c r="I3">
        <v>3</v>
      </c>
      <c r="J3">
        <v>3</v>
      </c>
      <c r="K3">
        <v>17</v>
      </c>
      <c r="L3">
        <v>16</v>
      </c>
      <c r="M3" s="5">
        <f t="shared" ref="M3:M6" si="2">(H3-G3)*$B$9+ (J3-I3)*$B$10 + (K3-L3)*$B$11</f>
        <v>500</v>
      </c>
      <c r="N3" s="1"/>
      <c r="Q3" s="2"/>
      <c r="R3" s="1"/>
    </row>
    <row r="4" spans="1:18">
      <c r="A4" t="s">
        <v>4</v>
      </c>
      <c r="B4" t="s">
        <v>5</v>
      </c>
      <c r="C4" s="4">
        <v>38459</v>
      </c>
      <c r="D4" s="9">
        <f t="shared" si="0"/>
        <v>38479</v>
      </c>
      <c r="E4">
        <v>1.7</v>
      </c>
      <c r="F4">
        <f t="shared" si="1"/>
        <v>0.87739726027397258</v>
      </c>
      <c r="G4">
        <v>23000</v>
      </c>
      <c r="H4">
        <v>23000</v>
      </c>
      <c r="I4">
        <v>8</v>
      </c>
      <c r="J4">
        <v>8.5</v>
      </c>
      <c r="K4">
        <v>12</v>
      </c>
      <c r="L4">
        <v>12</v>
      </c>
      <c r="M4" s="5">
        <f t="shared" si="2"/>
        <v>250</v>
      </c>
      <c r="N4" s="1"/>
      <c r="R4" s="1"/>
    </row>
    <row r="5" spans="1:18">
      <c r="A5" t="s">
        <v>6</v>
      </c>
      <c r="B5" t="s">
        <v>7</v>
      </c>
      <c r="C5" s="4">
        <v>38168</v>
      </c>
      <c r="D5" s="9">
        <f t="shared" si="0"/>
        <v>38188</v>
      </c>
      <c r="E5">
        <v>2.5</v>
      </c>
      <c r="F5">
        <f t="shared" si="1"/>
        <v>1.2773972602739727</v>
      </c>
      <c r="G5">
        <v>25000</v>
      </c>
      <c r="H5">
        <v>25000</v>
      </c>
      <c r="I5">
        <v>9.4</v>
      </c>
      <c r="J5">
        <v>9.4</v>
      </c>
      <c r="K5">
        <v>15.5</v>
      </c>
      <c r="L5">
        <v>15</v>
      </c>
      <c r="M5" s="5">
        <f t="shared" si="2"/>
        <v>250</v>
      </c>
      <c r="N5" s="1"/>
      <c r="R5" s="1"/>
    </row>
    <row r="6" spans="1:18">
      <c r="A6" t="s">
        <v>8</v>
      </c>
      <c r="B6" t="s">
        <v>9</v>
      </c>
      <c r="C6" s="4">
        <v>38497</v>
      </c>
      <c r="D6" s="9">
        <f t="shared" si="0"/>
        <v>38505</v>
      </c>
      <c r="E6">
        <v>2.6</v>
      </c>
      <c r="F6">
        <f t="shared" si="1"/>
        <v>1.310958904109589</v>
      </c>
      <c r="G6">
        <v>19000</v>
      </c>
      <c r="H6">
        <v>19000</v>
      </c>
      <c r="I6">
        <v>4</v>
      </c>
      <c r="J6">
        <v>4.2</v>
      </c>
      <c r="K6">
        <v>11</v>
      </c>
      <c r="L6">
        <v>11</v>
      </c>
      <c r="M6" s="5">
        <f t="shared" si="2"/>
        <v>100.00000000000009</v>
      </c>
      <c r="N6" s="1"/>
      <c r="R6" s="1"/>
    </row>
    <row r="9" spans="1:18" ht="25.5">
      <c r="A9" s="8" t="s">
        <v>62</v>
      </c>
      <c r="B9">
        <v>2</v>
      </c>
    </row>
    <row r="10" spans="1:18" ht="25.5">
      <c r="A10" s="8" t="s">
        <v>33</v>
      </c>
      <c r="B10">
        <v>500</v>
      </c>
    </row>
    <row r="11" spans="1:18">
      <c r="A11" s="8" t="s">
        <v>32</v>
      </c>
      <c r="B11">
        <v>500</v>
      </c>
    </row>
    <row r="12" spans="1:18">
      <c r="A12" s="8" t="s">
        <v>39</v>
      </c>
      <c r="B12">
        <v>40</v>
      </c>
    </row>
    <row r="13" spans="1:18" ht="25.5">
      <c r="A13" s="8" t="s">
        <v>40</v>
      </c>
      <c r="B13">
        <v>40</v>
      </c>
    </row>
    <row r="14" spans="1:18" ht="25.5">
      <c r="A14" s="8" t="s">
        <v>64</v>
      </c>
      <c r="B14">
        <v>1</v>
      </c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6"/>
  <sheetViews>
    <sheetView workbookViewId="0">
      <selection activeCell="A2" sqref="A2"/>
    </sheetView>
  </sheetViews>
  <sheetFormatPr defaultRowHeight="12.75"/>
  <cols>
    <col min="3" max="3" width="10.42578125" customWidth="1"/>
    <col min="10" max="10" width="10.42578125" customWidth="1"/>
    <col min="11" max="11" width="10.140625" bestFit="1" customWidth="1"/>
  </cols>
  <sheetData>
    <row r="1" spans="1:11" s="3" customFormat="1" ht="24.75" customHeight="1">
      <c r="A1" s="3" t="s">
        <v>10</v>
      </c>
      <c r="B1" s="3" t="s">
        <v>69</v>
      </c>
      <c r="D1" s="3" t="s">
        <v>18</v>
      </c>
      <c r="E1" s="3" t="s">
        <v>70</v>
      </c>
      <c r="F1" s="3" t="s">
        <v>34</v>
      </c>
      <c r="G1" s="3" t="s">
        <v>71</v>
      </c>
      <c r="H1" s="3" t="s">
        <v>35</v>
      </c>
      <c r="J1" s="3" t="s">
        <v>17</v>
      </c>
      <c r="K1" s="3" t="s">
        <v>23</v>
      </c>
    </row>
    <row r="2" spans="1:11">
      <c r="A2" t="s">
        <v>0</v>
      </c>
      <c r="B2" t="s">
        <v>1</v>
      </c>
      <c r="C2" s="5">
        <v>28</v>
      </c>
      <c r="D2" s="5">
        <v>28</v>
      </c>
      <c r="E2">
        <v>1000</v>
      </c>
      <c r="F2">
        <v>1000</v>
      </c>
      <c r="G2">
        <v>1000</v>
      </c>
      <c r="H2">
        <v>1000</v>
      </c>
      <c r="I2">
        <v>1188</v>
      </c>
      <c r="J2">
        <v>1188</v>
      </c>
      <c r="K2" s="5">
        <f>J2*D2</f>
        <v>33264</v>
      </c>
    </row>
    <row r="3" spans="1:11">
      <c r="A3" t="s">
        <v>2</v>
      </c>
      <c r="B3" t="s">
        <v>3</v>
      </c>
      <c r="C3" s="5">
        <v>21</v>
      </c>
      <c r="D3" s="5">
        <v>21</v>
      </c>
      <c r="E3">
        <v>1000</v>
      </c>
      <c r="F3">
        <v>1000</v>
      </c>
      <c r="G3">
        <v>1000</v>
      </c>
      <c r="H3">
        <v>1000</v>
      </c>
      <c r="I3">
        <v>1802</v>
      </c>
      <c r="J3">
        <v>1802</v>
      </c>
      <c r="K3" s="5">
        <f>J3*D3</f>
        <v>37842</v>
      </c>
    </row>
    <row r="4" spans="1:11">
      <c r="A4" t="s">
        <v>4</v>
      </c>
      <c r="B4" t="s">
        <v>5</v>
      </c>
      <c r="C4" s="5">
        <v>38</v>
      </c>
      <c r="D4" s="5">
        <v>40</v>
      </c>
      <c r="E4">
        <v>1000</v>
      </c>
      <c r="F4">
        <v>1000</v>
      </c>
      <c r="G4">
        <v>1000</v>
      </c>
      <c r="H4">
        <v>1000</v>
      </c>
      <c r="I4">
        <v>406</v>
      </c>
      <c r="J4">
        <v>406</v>
      </c>
      <c r="K4" s="5">
        <f>J4*D4</f>
        <v>16240</v>
      </c>
    </row>
    <row r="5" spans="1:11">
      <c r="A5" t="s">
        <v>6</v>
      </c>
      <c r="B5" t="s">
        <v>66</v>
      </c>
      <c r="C5" s="5">
        <v>33</v>
      </c>
      <c r="D5" s="5">
        <v>37</v>
      </c>
      <c r="E5">
        <v>1000</v>
      </c>
      <c r="F5">
        <v>1000</v>
      </c>
      <c r="G5">
        <v>1000</v>
      </c>
      <c r="H5">
        <v>1000</v>
      </c>
      <c r="I5">
        <v>436</v>
      </c>
      <c r="J5">
        <v>436</v>
      </c>
      <c r="K5" s="5">
        <f>J5*D5</f>
        <v>16132</v>
      </c>
    </row>
    <row r="6" spans="1:11">
      <c r="A6" t="s">
        <v>8</v>
      </c>
      <c r="B6" t="s">
        <v>9</v>
      </c>
      <c r="C6" s="5">
        <v>33</v>
      </c>
      <c r="D6" s="5">
        <v>37</v>
      </c>
      <c r="E6">
        <v>1000</v>
      </c>
      <c r="F6">
        <v>1000</v>
      </c>
      <c r="G6">
        <v>1000</v>
      </c>
      <c r="H6">
        <v>1000</v>
      </c>
      <c r="I6">
        <v>376</v>
      </c>
      <c r="J6">
        <v>376</v>
      </c>
      <c r="K6" s="5">
        <f>J6*D6</f>
        <v>13912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U28"/>
  <sheetViews>
    <sheetView tabSelected="1" topLeftCell="B1" workbookViewId="0">
      <selection activeCell="I5" sqref="I5:I9"/>
    </sheetView>
  </sheetViews>
  <sheetFormatPr defaultRowHeight="12.75"/>
  <cols>
    <col min="1" max="1" width="17.5703125" style="3" customWidth="1"/>
    <col min="9" max="9" width="10.140625" bestFit="1" customWidth="1"/>
    <col min="14" max="14" width="11" customWidth="1"/>
  </cols>
  <sheetData>
    <row r="1" spans="1:21" ht="32.25" customHeight="1">
      <c r="A1" s="3" t="s">
        <v>30</v>
      </c>
      <c r="B1">
        <v>700</v>
      </c>
    </row>
    <row r="2" spans="1:21" ht="14.25" customHeight="1">
      <c r="A2" s="3" t="s">
        <v>37</v>
      </c>
      <c r="B2">
        <v>700</v>
      </c>
    </row>
    <row r="3" spans="1:21" ht="18.75" customHeight="1">
      <c r="A3" s="3" t="s">
        <v>47</v>
      </c>
      <c r="B3">
        <v>0.66</v>
      </c>
    </row>
    <row r="4" spans="1:21" ht="38.25">
      <c r="A4" s="3" t="s">
        <v>10</v>
      </c>
      <c r="B4" s="3" t="s">
        <v>65</v>
      </c>
      <c r="C4" s="3" t="s">
        <v>36</v>
      </c>
      <c r="D4" s="3" t="s">
        <v>17</v>
      </c>
      <c r="E4" s="3" t="s">
        <v>67</v>
      </c>
      <c r="F4" s="3" t="s">
        <v>68</v>
      </c>
      <c r="G4" s="3" t="s">
        <v>19</v>
      </c>
      <c r="H4" s="3" t="s">
        <v>72</v>
      </c>
      <c r="I4" s="3" t="s">
        <v>73</v>
      </c>
      <c r="J4" s="3" t="s">
        <v>21</v>
      </c>
      <c r="K4" s="3" t="s">
        <v>27</v>
      </c>
      <c r="L4" s="3" t="s">
        <v>31</v>
      </c>
      <c r="M4" s="3" t="s">
        <v>29</v>
      </c>
      <c r="N4" s="3" t="s">
        <v>30</v>
      </c>
      <c r="O4" s="3" t="s">
        <v>22</v>
      </c>
      <c r="P4" s="3" t="s">
        <v>26</v>
      </c>
      <c r="Q4" s="3" t="s">
        <v>28</v>
      </c>
      <c r="R4" s="3" t="s">
        <v>44</v>
      </c>
      <c r="S4" s="3" t="s">
        <v>46</v>
      </c>
      <c r="T4" s="3" t="s">
        <v>24</v>
      </c>
      <c r="U4" s="3" t="s">
        <v>25</v>
      </c>
    </row>
    <row r="5" spans="1:21">
      <c r="A5" t="s">
        <v>0</v>
      </c>
      <c r="B5" t="s">
        <v>1</v>
      </c>
      <c r="C5">
        <v>0</v>
      </c>
      <c r="D5">
        <v>1188</v>
      </c>
      <c r="E5">
        <f>SUM(C5:D5)</f>
        <v>1188</v>
      </c>
      <c r="F5">
        <v>1200</v>
      </c>
      <c r="G5" s="5">
        <v>11.59</v>
      </c>
      <c r="H5" s="5">
        <f>IF(S5&lt;=100%,HR!$B$1/L5, (100%*HR!$B$1/L5+((S5-100%)*1.5*HR!$B$1/L5)))</f>
        <v>9.1280000000000001</v>
      </c>
      <c r="I5" s="5">
        <f>F5*H5</f>
        <v>10953.6</v>
      </c>
      <c r="J5" s="1">
        <v>0.28999999999999998</v>
      </c>
      <c r="K5" s="1">
        <v>0</v>
      </c>
      <c r="L5">
        <v>4</v>
      </c>
      <c r="M5">
        <v>5</v>
      </c>
      <c r="N5" s="5">
        <f>(M5-L5)*$B$1</f>
        <v>700</v>
      </c>
      <c r="O5" s="2">
        <v>1800</v>
      </c>
      <c r="P5" s="1"/>
      <c r="Q5" s="7">
        <f>P5*$B$2</f>
        <v>0</v>
      </c>
      <c r="R5" s="2">
        <f>F5/L5*$B$3</f>
        <v>198</v>
      </c>
      <c r="S5" s="10">
        <f>$R$10/$T$5</f>
        <v>1.2026666666666668</v>
      </c>
      <c r="T5" s="6">
        <v>600</v>
      </c>
    </row>
    <row r="6" spans="1:21">
      <c r="A6" t="s">
        <v>2</v>
      </c>
      <c r="B6" t="s">
        <v>3</v>
      </c>
      <c r="C6">
        <v>0</v>
      </c>
      <c r="D6">
        <v>1802</v>
      </c>
      <c r="E6">
        <f t="shared" ref="E6:E9" si="0">SUM(C6:D6)</f>
        <v>1802</v>
      </c>
      <c r="F6">
        <v>1900</v>
      </c>
      <c r="G6" s="5">
        <v>7.81</v>
      </c>
      <c r="H6" s="5">
        <f>IF(S6&lt;=100%,HR!$B$1/L6, (100%*HR!$B$1/L6+((S6-100%)*1.5*HR!$B$1/L6)))</f>
        <v>7.3024000000000004</v>
      </c>
      <c r="I6" s="5">
        <f t="shared" ref="I6:I9" si="1">F6*H6</f>
        <v>13874.560000000001</v>
      </c>
      <c r="J6" s="1">
        <v>0.27</v>
      </c>
      <c r="K6" s="1">
        <v>0.3</v>
      </c>
      <c r="L6">
        <v>5</v>
      </c>
      <c r="M6">
        <v>6</v>
      </c>
      <c r="N6" s="5">
        <f>(M6-L6)*$B$1</f>
        <v>700</v>
      </c>
      <c r="O6" s="2">
        <v>1400</v>
      </c>
      <c r="P6" s="1"/>
      <c r="Q6" s="7">
        <f>P6*$B$2</f>
        <v>0</v>
      </c>
      <c r="R6" s="2">
        <f t="shared" ref="R6:R9" si="2">F6/L6*$B$3</f>
        <v>250.8</v>
      </c>
      <c r="S6" s="10">
        <f>$R$10/$T$5</f>
        <v>1.2026666666666668</v>
      </c>
    </row>
    <row r="7" spans="1:21">
      <c r="A7" t="s">
        <v>4</v>
      </c>
      <c r="B7" t="s">
        <v>5</v>
      </c>
      <c r="C7">
        <v>0</v>
      </c>
      <c r="D7">
        <v>406</v>
      </c>
      <c r="E7">
        <f t="shared" si="0"/>
        <v>406</v>
      </c>
      <c r="F7">
        <v>420</v>
      </c>
      <c r="G7" s="5">
        <v>15.98</v>
      </c>
      <c r="H7" s="5">
        <f>IF(S7&lt;=100%,HR!$B$1/L7, (100%*HR!$B$1/L7+((S7-100%)*1.5*HR!$B$1/L7)))</f>
        <v>12.170666666666669</v>
      </c>
      <c r="I7" s="5">
        <f t="shared" si="1"/>
        <v>5111.6800000000012</v>
      </c>
      <c r="J7" s="1">
        <v>0.33</v>
      </c>
      <c r="K7" s="1">
        <v>0</v>
      </c>
      <c r="L7">
        <v>3</v>
      </c>
      <c r="M7">
        <v>4</v>
      </c>
      <c r="N7" s="5">
        <f>(M7-L7)*$B$1</f>
        <v>700</v>
      </c>
      <c r="O7">
        <v>900</v>
      </c>
      <c r="P7" s="1"/>
      <c r="Q7" s="7">
        <f>P7*$B$2</f>
        <v>0</v>
      </c>
      <c r="R7" s="2">
        <f t="shared" si="2"/>
        <v>92.4</v>
      </c>
      <c r="S7" s="10">
        <f>$R$10/$T$5</f>
        <v>1.2026666666666668</v>
      </c>
    </row>
    <row r="8" spans="1:21">
      <c r="A8" t="s">
        <v>6</v>
      </c>
      <c r="B8" t="s">
        <v>66</v>
      </c>
      <c r="C8">
        <v>0</v>
      </c>
      <c r="D8">
        <v>436</v>
      </c>
      <c r="E8">
        <f t="shared" si="0"/>
        <v>436</v>
      </c>
      <c r="F8">
        <v>440</v>
      </c>
      <c r="G8" s="5">
        <v>15.87</v>
      </c>
      <c r="H8" s="5">
        <f>IF(S8&lt;=100%,HR!$B$1/L8, (100%*HR!$B$1/L8+((S8-100%)*1.5*HR!$B$1/L8)))</f>
        <v>12.170666666666669</v>
      </c>
      <c r="I8" s="5">
        <f t="shared" si="1"/>
        <v>5355.0933333333342</v>
      </c>
      <c r="J8" s="1">
        <v>0.23</v>
      </c>
      <c r="K8" s="1">
        <v>0</v>
      </c>
      <c r="L8">
        <v>3</v>
      </c>
      <c r="M8">
        <v>4</v>
      </c>
      <c r="N8" s="5">
        <f>(M8-L8)*$B$1</f>
        <v>700</v>
      </c>
      <c r="O8">
        <v>600</v>
      </c>
      <c r="P8" s="1"/>
      <c r="Q8" s="7">
        <f>P8*$B$2</f>
        <v>0</v>
      </c>
      <c r="R8" s="2">
        <f t="shared" si="2"/>
        <v>96.8</v>
      </c>
      <c r="S8" s="10">
        <f>$R$10/$T$5</f>
        <v>1.2026666666666668</v>
      </c>
    </row>
    <row r="9" spans="1:21">
      <c r="A9" t="s">
        <v>8</v>
      </c>
      <c r="B9" t="s">
        <v>9</v>
      </c>
      <c r="C9">
        <v>0</v>
      </c>
      <c r="D9">
        <v>376</v>
      </c>
      <c r="E9">
        <f t="shared" si="0"/>
        <v>376</v>
      </c>
      <c r="F9">
        <v>380</v>
      </c>
      <c r="G9" s="5">
        <v>13.62</v>
      </c>
      <c r="H9" s="5">
        <f>IF(S9&lt;=100%,HR!$B$1/L9, (100%*HR!$B$1/L9+((S9-100%)*1.5*HR!$B$1/L9)))</f>
        <v>12.170666666666669</v>
      </c>
      <c r="I9" s="5">
        <f t="shared" si="1"/>
        <v>4624.8533333333344</v>
      </c>
      <c r="J9" s="1">
        <v>0.3</v>
      </c>
      <c r="K9" s="1">
        <v>0</v>
      </c>
      <c r="L9">
        <v>3</v>
      </c>
      <c r="M9">
        <v>4</v>
      </c>
      <c r="N9" s="5">
        <f>(M9-L9)*$B$1</f>
        <v>700</v>
      </c>
      <c r="O9">
        <v>600</v>
      </c>
      <c r="P9" s="1"/>
      <c r="Q9" s="7">
        <f>P9*$B$2</f>
        <v>0</v>
      </c>
      <c r="R9" s="2">
        <f t="shared" si="2"/>
        <v>83.600000000000009</v>
      </c>
      <c r="S9" s="10">
        <f>$R$10/$T$5</f>
        <v>1.2026666666666668</v>
      </c>
    </row>
    <row r="10" spans="1:21">
      <c r="A10" t="s">
        <v>45</v>
      </c>
      <c r="P10" s="12"/>
      <c r="R10" s="2">
        <f>SUM(R5:R9)</f>
        <v>721.6</v>
      </c>
    </row>
    <row r="12" spans="1:21">
      <c r="A12" s="3" t="s">
        <v>10</v>
      </c>
      <c r="B12" t="s">
        <v>0</v>
      </c>
      <c r="C12" t="s">
        <v>2</v>
      </c>
      <c r="D12" t="s">
        <v>4</v>
      </c>
      <c r="E12" t="s">
        <v>6</v>
      </c>
      <c r="F12" t="s">
        <v>8</v>
      </c>
      <c r="G12" t="s">
        <v>45</v>
      </c>
    </row>
    <row r="13" spans="1:21">
      <c r="A13" s="3" t="s">
        <v>36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" ht="25.5">
      <c r="A14" s="3" t="s">
        <v>38</v>
      </c>
      <c r="B14">
        <v>1188</v>
      </c>
      <c r="C14">
        <v>1802</v>
      </c>
      <c r="D14">
        <v>406</v>
      </c>
      <c r="E14">
        <v>436</v>
      </c>
      <c r="F14">
        <v>376</v>
      </c>
    </row>
    <row r="15" spans="1:21">
      <c r="A15" s="3" t="s">
        <v>19</v>
      </c>
      <c r="B15" s="5">
        <v>11.59</v>
      </c>
      <c r="C15" s="5">
        <v>7.81</v>
      </c>
      <c r="D15" s="5">
        <v>15.98</v>
      </c>
      <c r="E15" s="5">
        <v>15.87</v>
      </c>
      <c r="F15" s="5">
        <v>13.62</v>
      </c>
    </row>
    <row r="16" spans="1:21">
      <c r="A16" s="3" t="s">
        <v>20</v>
      </c>
      <c r="B16" s="5">
        <f>IF(B26&lt;=100%,HR!$B$1/B19, (100%*HR!$B$1/B19+((B26-100%)*1.5*HR!$B$1/B19)))</f>
        <v>8.7822700000000005</v>
      </c>
      <c r="C16" s="5">
        <f>IF(C26&lt;=100%,HR!$B$1/C19, (100%*HR!$B$1/C19+((C26-100%)*1.5*HR!$B$1/C19)))</f>
        <v>7.0258159999999998</v>
      </c>
      <c r="D16" s="5">
        <f>IF(D26&lt;=100%,HR!$B$1/D19, (100%*HR!$B$1/D19+((D26-100%)*1.5*HR!$B$1/D19)))</f>
        <v>11.709693333333334</v>
      </c>
      <c r="E16" s="5">
        <f>IF(E26&lt;=100%,HR!$B$1/E19, (100%*HR!$B$1/E19+((E26-100%)*1.5*HR!$B$1/E19)))</f>
        <v>11.709693333333334</v>
      </c>
      <c r="F16" s="5">
        <f>IF(F26&lt;=100%,HR!$B$1/F19, (100%*HR!$B$1/F19+((F26-100%)*1.5*HR!$B$1/F19)))</f>
        <v>11.709693333333334</v>
      </c>
    </row>
    <row r="17" spans="1:7">
      <c r="A17" s="3" t="s">
        <v>21</v>
      </c>
      <c r="B17" s="1">
        <v>0.28999999999999998</v>
      </c>
      <c r="C17" s="1">
        <v>0.27</v>
      </c>
      <c r="D17" s="1">
        <v>0.33</v>
      </c>
      <c r="E17" s="1">
        <v>0.23</v>
      </c>
      <c r="F17" s="1">
        <v>0.3</v>
      </c>
    </row>
    <row r="18" spans="1:7" ht="25.5">
      <c r="A18" s="3" t="s">
        <v>27</v>
      </c>
      <c r="B18" s="1">
        <v>0</v>
      </c>
      <c r="C18" s="1">
        <v>0.3</v>
      </c>
      <c r="D18" s="1">
        <v>0</v>
      </c>
      <c r="E18" s="1">
        <v>0</v>
      </c>
      <c r="F18" s="1">
        <v>0</v>
      </c>
    </row>
    <row r="19" spans="1:7">
      <c r="A19" s="3" t="s">
        <v>31</v>
      </c>
      <c r="B19">
        <v>4</v>
      </c>
      <c r="C19">
        <v>5</v>
      </c>
      <c r="D19">
        <v>3</v>
      </c>
      <c r="E19">
        <v>3</v>
      </c>
      <c r="F19">
        <v>3</v>
      </c>
    </row>
    <row r="20" spans="1:7" ht="25.5">
      <c r="A20" s="3" t="s">
        <v>29</v>
      </c>
      <c r="B20">
        <v>5</v>
      </c>
      <c r="C20">
        <v>6</v>
      </c>
      <c r="D20">
        <v>4</v>
      </c>
      <c r="E20">
        <v>4</v>
      </c>
      <c r="F20">
        <v>4</v>
      </c>
    </row>
    <row r="21" spans="1:7">
      <c r="A21" s="3" t="s">
        <v>30</v>
      </c>
      <c r="B21" s="5">
        <f>(B20-B19)*$B$1</f>
        <v>700</v>
      </c>
      <c r="C21" s="5">
        <f t="shared" ref="C21:F21" si="3">(C20-C19)*$B$1</f>
        <v>700</v>
      </c>
      <c r="D21" s="5">
        <f t="shared" si="3"/>
        <v>700</v>
      </c>
      <c r="E21" s="5">
        <f t="shared" si="3"/>
        <v>700</v>
      </c>
      <c r="F21" s="5">
        <f t="shared" si="3"/>
        <v>700</v>
      </c>
    </row>
    <row r="22" spans="1:7" ht="25.5">
      <c r="A22" s="3" t="s">
        <v>22</v>
      </c>
      <c r="B22" s="2">
        <v>1800</v>
      </c>
      <c r="C22" s="2">
        <v>1400</v>
      </c>
      <c r="D22">
        <v>900</v>
      </c>
      <c r="E22">
        <v>600</v>
      </c>
      <c r="F22">
        <v>600</v>
      </c>
    </row>
    <row r="23" spans="1:7">
      <c r="A23" s="3" t="s">
        <v>26</v>
      </c>
      <c r="B23" s="1"/>
      <c r="C23" s="1"/>
      <c r="D23" s="1"/>
      <c r="E23" s="1"/>
      <c r="F23" s="1"/>
    </row>
    <row r="24" spans="1:7">
      <c r="A24" s="3" t="s">
        <v>28</v>
      </c>
      <c r="B24" s="7">
        <f>B23*$B$2</f>
        <v>0</v>
      </c>
      <c r="C24" s="7">
        <f t="shared" ref="C24:F24" si="4">C23*$B$2</f>
        <v>0</v>
      </c>
      <c r="D24" s="7">
        <f t="shared" si="4"/>
        <v>0</v>
      </c>
      <c r="E24" s="7">
        <f t="shared" si="4"/>
        <v>0</v>
      </c>
      <c r="F24" s="7">
        <f t="shared" si="4"/>
        <v>0</v>
      </c>
    </row>
    <row r="25" spans="1:7">
      <c r="A25" s="3" t="s">
        <v>44</v>
      </c>
      <c r="B25" s="2">
        <f>B14/B19*$B$3</f>
        <v>196.02</v>
      </c>
      <c r="C25" s="2">
        <f t="shared" ref="C25:F25" si="5">C14/C19*$B$3</f>
        <v>237.864</v>
      </c>
      <c r="D25" s="2">
        <f t="shared" si="5"/>
        <v>89.320000000000007</v>
      </c>
      <c r="E25" s="2">
        <f t="shared" si="5"/>
        <v>95.920000000000016</v>
      </c>
      <c r="F25" s="2">
        <f t="shared" si="5"/>
        <v>82.72</v>
      </c>
      <c r="G25" s="2">
        <f>SUM(B25:F25)</f>
        <v>701.84400000000005</v>
      </c>
    </row>
    <row r="26" spans="1:7">
      <c r="A26" s="3" t="s">
        <v>46</v>
      </c>
      <c r="B26" s="10">
        <f>$G$25/$B$27</f>
        <v>1.16974</v>
      </c>
      <c r="C26" s="10">
        <f>$G$25/$B$27</f>
        <v>1.16974</v>
      </c>
      <c r="D26" s="10">
        <f>$G$25/$B$27</f>
        <v>1.16974</v>
      </c>
      <c r="E26" s="10">
        <f>$G$25/$B$27</f>
        <v>1.16974</v>
      </c>
      <c r="F26" s="10">
        <f>$G$25/$B$27</f>
        <v>1.16974</v>
      </c>
      <c r="G26" s="12"/>
    </row>
    <row r="27" spans="1:7">
      <c r="A27" s="3" t="s">
        <v>24</v>
      </c>
      <c r="B27" s="6">
        <v>600</v>
      </c>
    </row>
    <row r="28" spans="1:7">
      <c r="A28" s="3" t="s">
        <v>25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F21" sqref="F21"/>
    </sheetView>
  </sheetViews>
  <sheetFormatPr defaultRowHeight="12.75"/>
  <sheetData>
    <row r="1" spans="1:2">
      <c r="A1" t="s">
        <v>43</v>
      </c>
      <c r="B1" s="11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B3"/>
  <sheetViews>
    <sheetView workbookViewId="0">
      <selection activeCell="F33" sqref="F33"/>
    </sheetView>
  </sheetViews>
  <sheetFormatPr defaultRowHeight="12.75"/>
  <cols>
    <col min="1" max="1" width="14" bestFit="1" customWidth="1"/>
  </cols>
  <sheetData>
    <row r="1" spans="1:2">
      <c r="A1" t="s">
        <v>49</v>
      </c>
      <c r="B1">
        <v>65000</v>
      </c>
    </row>
    <row r="2" spans="1:2">
      <c r="A2" t="s">
        <v>50</v>
      </c>
      <c r="B2">
        <v>15000</v>
      </c>
    </row>
    <row r="3" spans="1:2">
      <c r="A3" t="s">
        <v>51</v>
      </c>
      <c r="B3"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2:G28"/>
  <sheetViews>
    <sheetView workbookViewId="0">
      <selection activeCell="A3" sqref="A3:A17"/>
    </sheetView>
  </sheetViews>
  <sheetFormatPr defaultRowHeight="12.75"/>
  <cols>
    <col min="1" max="1" width="18.140625" customWidth="1"/>
    <col min="2" max="6" width="12.5703125" bestFit="1" customWidth="1"/>
    <col min="7" max="7" width="12.28515625" bestFit="1" customWidth="1"/>
  </cols>
  <sheetData>
    <row r="2" spans="1:7">
      <c r="A2" s="3" t="s">
        <v>10</v>
      </c>
      <c r="B2" t="s">
        <v>0</v>
      </c>
      <c r="C2" t="s">
        <v>2</v>
      </c>
      <c r="D2" t="s">
        <v>4</v>
      </c>
      <c r="E2" t="s">
        <v>6</v>
      </c>
      <c r="F2" t="s">
        <v>8</v>
      </c>
      <c r="G2" t="s">
        <v>45</v>
      </c>
    </row>
    <row r="3" spans="1:7">
      <c r="A3" t="s">
        <v>41</v>
      </c>
      <c r="B3" s="5">
        <f>Marketing!K2</f>
        <v>33264</v>
      </c>
      <c r="C3" s="5">
        <f>Marketing!K3</f>
        <v>37842</v>
      </c>
      <c r="D3" s="5">
        <f>Marketing!K4</f>
        <v>16240</v>
      </c>
      <c r="E3" s="5">
        <f>Marketing!K5</f>
        <v>16132</v>
      </c>
      <c r="F3" s="5">
        <f>Marketing!K6</f>
        <v>13912</v>
      </c>
      <c r="G3" s="5">
        <f>SUM(B3:F3)</f>
        <v>117390</v>
      </c>
    </row>
    <row r="4" spans="1:7">
      <c r="A4" t="s">
        <v>20</v>
      </c>
      <c r="B4" s="5">
        <f>Production!B14*Production!B16</f>
        <v>10433.33676</v>
      </c>
      <c r="C4" s="5">
        <f>Production!C14*Production!C16</f>
        <v>12660.520431999999</v>
      </c>
      <c r="D4" s="5">
        <f>Production!D14*Production!D16</f>
        <v>4754.1354933333332</v>
      </c>
      <c r="E4" s="5">
        <f>Production!E14*Production!E16</f>
        <v>5105.4262933333339</v>
      </c>
      <c r="F4" s="5">
        <f>Production!F14*Production!F16</f>
        <v>4402.8446933333335</v>
      </c>
      <c r="G4" s="5">
        <f t="shared" ref="G4:G17" si="0">SUM(B4:F4)</f>
        <v>37356.263672000001</v>
      </c>
    </row>
    <row r="5" spans="1:7">
      <c r="A5" t="s">
        <v>19</v>
      </c>
      <c r="B5" s="5">
        <f>Production!B15*Production!B14</f>
        <v>13768.92</v>
      </c>
      <c r="C5" s="5">
        <f>Production!C15*Production!C14</f>
        <v>14073.619999999999</v>
      </c>
      <c r="D5" s="5">
        <f>Production!D15*Production!D14</f>
        <v>6487.88</v>
      </c>
      <c r="E5" s="5">
        <f>Production!E15*Production!E14</f>
        <v>6919.32</v>
      </c>
      <c r="F5" s="5">
        <f>Production!F15*Production!F14</f>
        <v>5121.12</v>
      </c>
      <c r="G5" s="5">
        <f t="shared" si="0"/>
        <v>46370.86</v>
      </c>
    </row>
    <row r="6" spans="1:7">
      <c r="A6" t="s">
        <v>30</v>
      </c>
      <c r="B6" s="5">
        <f>Production!B21</f>
        <v>700</v>
      </c>
      <c r="C6" s="5">
        <f>Production!C21</f>
        <v>700</v>
      </c>
      <c r="D6" s="5">
        <f>Production!D21</f>
        <v>700</v>
      </c>
      <c r="E6" s="5">
        <f>Production!E21</f>
        <v>700</v>
      </c>
      <c r="F6" s="5">
        <f>Production!F21</f>
        <v>700</v>
      </c>
      <c r="G6" s="5">
        <f t="shared" si="0"/>
        <v>3500</v>
      </c>
    </row>
    <row r="7" spans="1:7">
      <c r="A7" t="s">
        <v>42</v>
      </c>
      <c r="B7" s="5">
        <f>Production!B24</f>
        <v>0</v>
      </c>
      <c r="C7" s="5">
        <f>Production!C24</f>
        <v>0</v>
      </c>
      <c r="D7" s="5">
        <f>Production!D24</f>
        <v>0</v>
      </c>
      <c r="E7" s="5">
        <f>Production!E24</f>
        <v>0</v>
      </c>
      <c r="F7" s="5">
        <f>Production!F24</f>
        <v>0</v>
      </c>
      <c r="G7" s="5">
        <f t="shared" si="0"/>
        <v>0</v>
      </c>
    </row>
    <row r="8" spans="1:7">
      <c r="A8" t="s">
        <v>16</v>
      </c>
      <c r="B8" s="5">
        <f>'R&amp;D'!M2</f>
        <v>1500</v>
      </c>
      <c r="C8" s="5">
        <f>'R&amp;D'!M3</f>
        <v>500</v>
      </c>
      <c r="D8" s="5">
        <f>'R&amp;D'!M4</f>
        <v>250</v>
      </c>
      <c r="E8" s="5">
        <f>'R&amp;D'!M5</f>
        <v>250</v>
      </c>
      <c r="F8" s="5">
        <f>'R&amp;D'!M6</f>
        <v>100.00000000000009</v>
      </c>
      <c r="G8" s="5">
        <f t="shared" si="0"/>
        <v>2600</v>
      </c>
    </row>
    <row r="9" spans="1:7">
      <c r="A9" t="s">
        <v>61</v>
      </c>
      <c r="B9" s="5">
        <f>SUM(Marketing!F2:H2)</f>
        <v>3000</v>
      </c>
      <c r="C9" s="5">
        <f>SUM(Marketing!F3:H3)</f>
        <v>3000</v>
      </c>
      <c r="D9" s="5">
        <f>SUM(Marketing!F4:H4)</f>
        <v>3000</v>
      </c>
      <c r="E9" s="5">
        <f>SUM(Marketing!F5:H5)</f>
        <v>3000</v>
      </c>
      <c r="F9" s="5">
        <f>SUM(Marketing!F6:H6)</f>
        <v>3000</v>
      </c>
      <c r="G9" s="5">
        <f t="shared" si="0"/>
        <v>15000</v>
      </c>
    </row>
    <row r="10" spans="1:7">
      <c r="A10" t="s">
        <v>58</v>
      </c>
      <c r="B10" s="5">
        <v>779</v>
      </c>
      <c r="C10" s="5">
        <v>779</v>
      </c>
      <c r="D10" s="5">
        <v>779</v>
      </c>
      <c r="E10" s="5">
        <v>779</v>
      </c>
      <c r="F10" s="5">
        <v>779</v>
      </c>
      <c r="G10" s="5">
        <f t="shared" si="0"/>
        <v>3895</v>
      </c>
    </row>
    <row r="11" spans="1:7">
      <c r="A11" t="s">
        <v>48</v>
      </c>
      <c r="B11" s="5">
        <f>SUM(B4:B7)*10%</f>
        <v>2490.225676</v>
      </c>
      <c r="C11" s="5">
        <f t="shared" ref="C11:F11" si="1">SUM(C4:C7)*10%</f>
        <v>2743.4140432000004</v>
      </c>
      <c r="D11" s="5">
        <f t="shared" si="1"/>
        <v>1194.2015493333333</v>
      </c>
      <c r="E11" s="5">
        <f t="shared" si="1"/>
        <v>1272.4746293333335</v>
      </c>
      <c r="F11" s="5">
        <f t="shared" si="1"/>
        <v>1022.3964693333334</v>
      </c>
      <c r="G11" s="5">
        <f t="shared" si="0"/>
        <v>8722.7123671999998</v>
      </c>
    </row>
    <row r="12" spans="1:7">
      <c r="A12" t="s">
        <v>57</v>
      </c>
      <c r="B12" s="5">
        <f>B3-SUM(B4:B11)</f>
        <v>592.51756400000158</v>
      </c>
      <c r="C12" s="5">
        <f>C3-SUM(C4:C11)</f>
        <v>3385.4455248000013</v>
      </c>
      <c r="D12" s="5">
        <f>D3-SUM(D4:D11)</f>
        <v>-925.21704266666711</v>
      </c>
      <c r="E12" s="5">
        <f>E3-SUM(E4:E11)</f>
        <v>-1894.2209226666673</v>
      </c>
      <c r="F12" s="5">
        <f>F3-SUM(F4:F11)</f>
        <v>-1213.3611626666661</v>
      </c>
      <c r="G12" s="5">
        <f t="shared" si="0"/>
        <v>-54.836039199997686</v>
      </c>
    </row>
    <row r="13" spans="1:7">
      <c r="A13" t="s">
        <v>21</v>
      </c>
      <c r="B13" s="10">
        <f>(B3-SUM(B4:B11))/B3</f>
        <v>1.7812577080327126E-2</v>
      </c>
      <c r="C13" s="10">
        <f t="shared" ref="C13:F13" si="2">(C3-SUM(C4:C11))/C3</f>
        <v>8.9462647978436685E-2</v>
      </c>
      <c r="D13" s="10">
        <f t="shared" si="2"/>
        <v>-5.6971492775041079E-2</v>
      </c>
      <c r="E13" s="10">
        <f t="shared" si="2"/>
        <v>-0.11742009190842223</v>
      </c>
      <c r="F13" s="10">
        <f t="shared" si="2"/>
        <v>-8.7216874832279051E-2</v>
      </c>
      <c r="G13" s="10">
        <f>AVERAGE(B13:F13)</f>
        <v>-3.0866646891395712E-2</v>
      </c>
    </row>
    <row r="14" spans="1:7">
      <c r="A14" t="s">
        <v>53</v>
      </c>
      <c r="B14" s="5">
        <f>(B3-SUM(B4:B11))*$B$19</f>
        <v>88.877634600000235</v>
      </c>
      <c r="C14" s="5">
        <f t="shared" ref="C14:F14" si="3">(C3-SUM(C4:C11))*$B$19</f>
        <v>507.81682872000016</v>
      </c>
      <c r="D14" s="5">
        <f t="shared" si="3"/>
        <v>-138.78255640000006</v>
      </c>
      <c r="E14" s="5">
        <f t="shared" si="3"/>
        <v>-284.13313840000006</v>
      </c>
      <c r="F14" s="5">
        <f t="shared" si="3"/>
        <v>-182.00417439999993</v>
      </c>
      <c r="G14" s="5">
        <f t="shared" si="0"/>
        <v>-8.2254058799996699</v>
      </c>
    </row>
    <row r="15" spans="1:7">
      <c r="A15" t="s">
        <v>52</v>
      </c>
      <c r="B15" s="5">
        <f>Finance!$B$2*'P&amp;L'!$B$20*'P&amp;L'!B3/'P&amp;L'!$G$3+Finance!$B$3*'P&amp;L'!$B$21*'P&amp;L'!B3/'P&amp;L'!$G$3</f>
        <v>368.37209302325584</v>
      </c>
      <c r="C15" s="5">
        <f>Finance!$B$2*'P&amp;L'!$B$20*'P&amp;L'!C3/'P&amp;L'!$G$3+Finance!$B$3*'P&amp;L'!$B$21*'P&amp;L'!C3/'P&amp;L'!$G$3</f>
        <v>419.06976744186045</v>
      </c>
      <c r="D15" s="5">
        <f>Finance!$B$2*'P&amp;L'!$B$20*'P&amp;L'!D3/'P&amp;L'!$G$3+Finance!$B$3*'P&amp;L'!$B$21*'P&amp;L'!D3/'P&amp;L'!$G$3</f>
        <v>179.84496124031006</v>
      </c>
      <c r="E15" s="5">
        <f>Finance!$B$2*'P&amp;L'!$B$20*'P&amp;L'!E3/'P&amp;L'!$G$3+Finance!$B$3*'P&amp;L'!$B$21*'P&amp;L'!E3/'P&amp;L'!$G$3</f>
        <v>178.64894795127353</v>
      </c>
      <c r="F15" s="5">
        <f>Finance!$B$2*'P&amp;L'!$B$20*'P&amp;L'!F3/'P&amp;L'!$G$3+Finance!$B$3*'P&amp;L'!$B$21*'P&amp;L'!F3/'P&amp;L'!$G$3</f>
        <v>154.06423034330012</v>
      </c>
      <c r="G15" s="5">
        <f t="shared" si="0"/>
        <v>1300</v>
      </c>
    </row>
    <row r="16" spans="1:7">
      <c r="A16" t="s">
        <v>59</v>
      </c>
      <c r="B16" s="5">
        <v>85</v>
      </c>
      <c r="C16" s="5">
        <v>85</v>
      </c>
      <c r="D16" s="5">
        <v>85</v>
      </c>
      <c r="E16" s="5">
        <v>85</v>
      </c>
      <c r="F16" s="5">
        <v>85</v>
      </c>
      <c r="G16" s="5">
        <f t="shared" si="0"/>
        <v>425</v>
      </c>
    </row>
    <row r="17" spans="1:7">
      <c r="A17" t="s">
        <v>60</v>
      </c>
      <c r="B17" s="5">
        <f>B3-(SUM(B4:B11)+SUM(B14:B16))</f>
        <v>50.267836376748164</v>
      </c>
      <c r="C17" s="5">
        <f t="shared" ref="C17:F17" si="4">C3-(SUM(C4:C11)+SUM(C14:C16))</f>
        <v>2373.5589286381437</v>
      </c>
      <c r="D17" s="5">
        <f t="shared" si="4"/>
        <v>-1051.2794475069786</v>
      </c>
      <c r="E17" s="5">
        <f t="shared" si="4"/>
        <v>-1873.7367322179416</v>
      </c>
      <c r="F17" s="5">
        <f t="shared" si="4"/>
        <v>-1270.4212186099667</v>
      </c>
      <c r="G17" s="5">
        <f t="shared" si="0"/>
        <v>-1771.610633319995</v>
      </c>
    </row>
    <row r="18" spans="1:7">
      <c r="B18" s="5"/>
      <c r="C18" s="5"/>
      <c r="D18" s="5"/>
      <c r="E18" s="5"/>
      <c r="F18" s="5"/>
    </row>
    <row r="19" spans="1:7">
      <c r="A19" t="s">
        <v>54</v>
      </c>
      <c r="B19" s="10">
        <v>0.15</v>
      </c>
      <c r="C19" s="5"/>
      <c r="D19" s="5"/>
      <c r="E19" s="5"/>
      <c r="F19" s="5"/>
    </row>
    <row r="20" spans="1:7">
      <c r="A20" t="s">
        <v>56</v>
      </c>
      <c r="B20" s="10">
        <v>0.06</v>
      </c>
      <c r="C20" s="5"/>
      <c r="D20" s="5"/>
      <c r="E20" s="5"/>
      <c r="F20" s="5"/>
    </row>
    <row r="21" spans="1:7">
      <c r="A21" t="s">
        <v>55</v>
      </c>
      <c r="B21" s="10">
        <v>0.08</v>
      </c>
      <c r="C21" s="5"/>
      <c r="D21" s="5"/>
      <c r="E21" s="5"/>
      <c r="F21" s="5"/>
    </row>
    <row r="22" spans="1:7">
      <c r="B22" s="5"/>
      <c r="C22" s="5"/>
      <c r="D22" s="5"/>
      <c r="E22" s="5"/>
      <c r="F22" s="5"/>
    </row>
    <row r="23" spans="1:7">
      <c r="B23" s="5"/>
      <c r="C23" s="5"/>
      <c r="D23" s="5"/>
      <c r="E23" s="5"/>
      <c r="F23" s="5"/>
    </row>
    <row r="24" spans="1:7">
      <c r="B24" s="5"/>
      <c r="C24" s="5"/>
      <c r="D24" s="5"/>
      <c r="E24" s="5"/>
      <c r="F24" s="5"/>
    </row>
    <row r="25" spans="1:7">
      <c r="B25" s="5"/>
      <c r="C25" s="5"/>
      <c r="D25" s="5"/>
      <c r="E25" s="5"/>
      <c r="F25" s="5"/>
    </row>
    <row r="26" spans="1:7">
      <c r="B26" s="5"/>
      <c r="C26" s="5"/>
      <c r="D26" s="5"/>
      <c r="E26" s="5"/>
      <c r="F26" s="5"/>
    </row>
    <row r="27" spans="1:7">
      <c r="B27" s="5"/>
      <c r="C27" s="5"/>
      <c r="D27" s="5"/>
      <c r="E27" s="5"/>
      <c r="F27" s="5"/>
    </row>
    <row r="28" spans="1:7">
      <c r="B28" s="5"/>
      <c r="C28" s="5"/>
      <c r="D28" s="5"/>
      <c r="E28" s="5"/>
      <c r="F28" s="5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0" sqref="G30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R&amp;D</vt:lpstr>
      <vt:lpstr>Marketing</vt:lpstr>
      <vt:lpstr>Production</vt:lpstr>
      <vt:lpstr>HR</vt:lpstr>
      <vt:lpstr>Finance</vt:lpstr>
      <vt:lpstr>P&amp;L</vt:lpstr>
      <vt:lpstr>Balance Scorecard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Prasad</dc:creator>
  <cp:lastModifiedBy>Krishna Prasad</cp:lastModifiedBy>
  <dcterms:created xsi:type="dcterms:W3CDTF">2009-09-19T07:50:41Z</dcterms:created>
  <dcterms:modified xsi:type="dcterms:W3CDTF">2009-10-24T16:12:36Z</dcterms:modified>
</cp:coreProperties>
</file>